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B\UCHWAŁY RADY_2019\MAJ\WPF_21_05_2019\"/>
    </mc:Choice>
  </mc:AlternateContent>
  <xr:revisionPtr revIDLastSave="0" documentId="13_ncr:1_{2ED32B33-F920-4276-A30D-A38B1611D574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Załącznik 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0" i="1" l="1"/>
  <c r="K20" i="1"/>
  <c r="J20" i="1"/>
  <c r="J18" i="1" s="1"/>
  <c r="I20" i="1"/>
  <c r="I4" i="1" s="1"/>
  <c r="H20" i="1"/>
  <c r="G20" i="1"/>
  <c r="F20" i="1"/>
  <c r="F18" i="1" s="1"/>
  <c r="L19" i="1"/>
  <c r="L18" i="1" s="1"/>
  <c r="K19" i="1"/>
  <c r="J19" i="1"/>
  <c r="I19" i="1"/>
  <c r="I18" i="1" s="1"/>
  <c r="H19" i="1"/>
  <c r="H18" i="1" s="1"/>
  <c r="G19" i="1"/>
  <c r="F19" i="1"/>
  <c r="K18" i="1"/>
  <c r="G18" i="1"/>
  <c r="L16" i="1"/>
  <c r="K16" i="1"/>
  <c r="K14" i="1" s="1"/>
  <c r="J16" i="1"/>
  <c r="I16" i="1"/>
  <c r="H16" i="1"/>
  <c r="G16" i="1"/>
  <c r="G14" i="1" s="1"/>
  <c r="F16" i="1"/>
  <c r="L15" i="1"/>
  <c r="K15" i="1"/>
  <c r="J15" i="1"/>
  <c r="J14" i="1" s="1"/>
  <c r="I15" i="1"/>
  <c r="I14" i="1" s="1"/>
  <c r="H15" i="1"/>
  <c r="G15" i="1"/>
  <c r="F15" i="1"/>
  <c r="F14" i="1" s="1"/>
  <c r="L14" i="1"/>
  <c r="H14" i="1"/>
  <c r="L7" i="1"/>
  <c r="L5" i="1" s="1"/>
  <c r="K7" i="1"/>
  <c r="K4" i="1" s="1"/>
  <c r="J7" i="1"/>
  <c r="J4" i="1" s="1"/>
  <c r="I7" i="1"/>
  <c r="H7" i="1"/>
  <c r="H5" i="1" s="1"/>
  <c r="H2" i="1" s="1"/>
  <c r="G7" i="1"/>
  <c r="G4" i="1" s="1"/>
  <c r="F7" i="1"/>
  <c r="F4" i="1" s="1"/>
  <c r="L6" i="1"/>
  <c r="K6" i="1"/>
  <c r="K5" i="1" s="1"/>
  <c r="K2" i="1" s="1"/>
  <c r="J6" i="1"/>
  <c r="J3" i="1" s="1"/>
  <c r="I6" i="1"/>
  <c r="I3" i="1" s="1"/>
  <c r="H6" i="1"/>
  <c r="G6" i="1"/>
  <c r="G5" i="1" s="1"/>
  <c r="G2" i="1" s="1"/>
  <c r="F6" i="1"/>
  <c r="F3" i="1" s="1"/>
  <c r="I5" i="1"/>
  <c r="I2" i="1" s="1"/>
  <c r="L4" i="1"/>
  <c r="H4" i="1"/>
  <c r="K3" i="1"/>
  <c r="G3" i="1"/>
  <c r="L2" i="1" l="1"/>
  <c r="H3" i="1"/>
  <c r="L3" i="1"/>
  <c r="F5" i="1"/>
  <c r="F2" i="1" s="1"/>
  <c r="J5" i="1"/>
  <c r="J2" i="1" s="1"/>
</calcChain>
</file>

<file path=xl/sharedStrings.xml><?xml version="1.0" encoding="utf-8"?>
<sst xmlns="http://schemas.openxmlformats.org/spreadsheetml/2006/main" count="108" uniqueCount="79">
  <si>
    <t>Lp.</t>
  </si>
  <si>
    <t>Nazwa i cel</t>
  </si>
  <si>
    <t>Jednostka</t>
  </si>
  <si>
    <t>Od</t>
  </si>
  <si>
    <t>Do</t>
  </si>
  <si>
    <t>Nakłady</t>
  </si>
  <si>
    <t>2019</t>
  </si>
  <si>
    <t>2020</t>
  </si>
  <si>
    <t>2021</t>
  </si>
  <si>
    <t>2022</t>
  </si>
  <si>
    <t>2023</t>
  </si>
  <si>
    <t>Limit zobowiązań</t>
  </si>
  <si>
    <t>1</t>
  </si>
  <si>
    <t>Przedsięwzięcia razem</t>
  </si>
  <si>
    <t>1.a</t>
  </si>
  <si>
    <t xml:space="preserve"> - wydatki bieżące</t>
  </si>
  <si>
    <t>1.b</t>
  </si>
  <si>
    <t xml:space="preserve"> 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</si>
  <si>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</si>
  <si>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późn.zm.):</t>
  </si>
  <si>
    <t>1.1.1</t>
  </si>
  <si>
    <t>1.1.2</t>
  </si>
  <si>
    <t>1.1.2.1</t>
  </si>
  <si>
    <t xml:space="preserve">Ochrona bioróznorodnosci i udostępnianie zasobów przyrodniczych poprzez rozbudowę i doposażenie Regionalnego Ośrodka Edukacji Ekologicznej (ROEE- LGOM) w Dziewinie - </t>
  </si>
  <si>
    <t>Urząd Miasta i Gminy</t>
  </si>
  <si>
    <t>1.1.2.2</t>
  </si>
  <si>
    <t xml:space="preserve">Przebudowa istniejącego targowiska w Scinawie - </t>
  </si>
  <si>
    <t>1.1.2.3</t>
  </si>
  <si>
    <t>Rewitalizacja Ścinawy poprzez rozwój terenów zieleni miejskiej - Celem przedsięwzięcia jest poprawa warunków mieszkańców miasta i gminy Ścinawa poprzez zwiększenie wielkości terenów zielonych w mieście.</t>
  </si>
  <si>
    <t>1.1.2.4</t>
  </si>
  <si>
    <t xml:space="preserve">Rewitalizacja zabytkowej strefy centrum miasta Ścinawa poprzez przebudowę nawierzchni Rynku i przyległych ulic-etap I wraz z małą architekturą, zagospodarowaniem terenu - </t>
  </si>
  <si>
    <t>1.1.2.5</t>
  </si>
  <si>
    <t>Rozbudowa i modernizacja oczyszczalni ścieków oraz systemu wodno-kanalizacyjnego na terenie aglomeracji Ścinawa - Celem przedsięwzięcia jest poprawa warunków bytowych mieszkańców miasta i gminy Ścinawa poprzez wzrost jakości usług w obszarze higienicznym w zakresie powrzechności korzystania z systemu wodno-kanalizacyjnego dzięki zwiększeniu stopnia skanalizowania gminy</t>
  </si>
  <si>
    <t>1.1.2.6</t>
  </si>
  <si>
    <t>Wdrażanie strategii niskoemisyjnej poprzez ograniczenie ruchu zmotoryzowanych w centrum miasta Ścinawy - Ograniczenie niskiej emisji transportowej na terenie gminy Ścinawa w ramach kompleksowej strategii niskoemisyjnej, poprzez budowę zintegregowanego parkingu w formule Park&amp;Ride wraz z infrastrukturą drogową, łączącą parking ze szlakami komunikacyjnymi i atrakcjami turystycznymi oraz stanowiskami informacyjnymi dla zapewnienia spójności z publicznym transportem zbiorowym i dostarczenia informacji na temat funkcjonowania powstałej infrastruktury</t>
  </si>
  <si>
    <t>1.2</t>
  </si>
  <si>
    <t>Wydatki na programy, projekty lub zadania związane z umowami partnerstwa publiczno-prywatnego:</t>
  </si>
  <si>
    <t>1.2.1</t>
  </si>
  <si>
    <t>1.2.2</t>
  </si>
  <si>
    <t>1.2.2.1</t>
  </si>
  <si>
    <t xml:space="preserve">Budowa gazociągu średniego lub średniopodwyższonego ciśnienia Prochowice-Scinawa łaczącego istniejącą infrastrukturę dystrybucji gazu ziemnego należącego do Gen Gaz w Prochowicach z miastem Ścinawa - </t>
  </si>
  <si>
    <t>1.3</t>
  </si>
  <si>
    <t>Wydatki na programy, projekty lub zadania pozostałe (inne niż wymienione w pkt 1.1 i 1.2):</t>
  </si>
  <si>
    <t>1.3.1</t>
  </si>
  <si>
    <t>1.3.2</t>
  </si>
  <si>
    <t>1.3.2.1</t>
  </si>
  <si>
    <t>Budowa chodnika w miejscowości Przychowa, w ciągu drogi wojewódzkiej nr 292 - Celem przedsięwzięcia jest poprawa warunków bytowych mieszkańców miejscowości Przychowa a także zwiększenie bezpieczeństwa uczestników ruchu drogowego w obrębie miejscowości.</t>
  </si>
  <si>
    <t>1.3.2.2</t>
  </si>
  <si>
    <t>Budowa chodnika w miejscowości Zaborów, w ciągu drogi wojewódzkiej nr 292 - Celem przedsięwzięcia jest poprawa warunków bytowych mieszkańców miejscowości Zaborów a także zwiększenie bezpieczeństwa uczestników ruchu drogowego w obrębie miejscowości.</t>
  </si>
  <si>
    <t>1.3.2.3</t>
  </si>
  <si>
    <t xml:space="preserve">Dostosowanie urządzeń cieplnych w budynkach uzyteczności publicznej do gazowego paliwa - </t>
  </si>
  <si>
    <t>1.3.2.4</t>
  </si>
  <si>
    <t>Przebudowa drogi wojewódzkiej nr 292 na terenie Gminy Ścinawa - Poprawa warunków drogi wojewódzkiej, a także zwiekszenie bezpieczeństwa uczestników ruchu drogowego</t>
  </si>
  <si>
    <t>1.3.2.5</t>
  </si>
  <si>
    <t>Przebudowa drogi wojewódzkiej nr 292 w zakresie budowy chodnika w m. Buszkowice wraz z budową zatoki autobusowej - Poprawa warunków bytowych mieszkańców Buszkowic, a także zwiększenie bezpieczeństwa uczestników ruchu drogowego w obrębie miejscowości</t>
  </si>
  <si>
    <t>1.3.2.6</t>
  </si>
  <si>
    <t xml:space="preserve">Przebudowa dróg powiatowych na terenie Gminy Ścinawa - </t>
  </si>
  <si>
    <t>1.3.2.7</t>
  </si>
  <si>
    <t xml:space="preserve">Przebudowa, modernizacja i remont świetlic wiejskich - Jurcz - </t>
  </si>
  <si>
    <t>1.3.2.8</t>
  </si>
  <si>
    <t xml:space="preserve">Przebudowa, modernizacja i remont świetlic wiejskich - Krzyżowa - </t>
  </si>
  <si>
    <t>1.3.2.9</t>
  </si>
  <si>
    <t xml:space="preserve">Przebudowa, modernizacja i remont świetlic wiejskich - Redlice - </t>
  </si>
  <si>
    <t>1.3.2.10</t>
  </si>
  <si>
    <t xml:space="preserve">Przebudowa, modernizacja i remont świetlic wiejskich - Ręszów - </t>
  </si>
  <si>
    <t>1.3.2.11</t>
  </si>
  <si>
    <t xml:space="preserve">Przebudowa, modernizacja i remont świetlic wiejskich -Buszkowice - </t>
  </si>
  <si>
    <t>1.3.2.12</t>
  </si>
  <si>
    <t xml:space="preserve">Przebudowa, modernizacja i remont świetlic wiejskich- Dębiec - </t>
  </si>
  <si>
    <t>1.3.2.13</t>
  </si>
  <si>
    <t xml:space="preserve">Przebudowa, modernizacja i remont świetlic wiejskich- Dłużyce - </t>
  </si>
  <si>
    <t>1.3.2.14</t>
  </si>
  <si>
    <t xml:space="preserve">Przebudowa, modernizacja i remont świetlic wiejskich- Parszowice - </t>
  </si>
  <si>
    <t>1.3.2.15</t>
  </si>
  <si>
    <t xml:space="preserve">Przebudowa, modernizacja i remont świetlic wiejskich -Tymowa - </t>
  </si>
  <si>
    <t>1.3.2.16</t>
  </si>
  <si>
    <t xml:space="preserve">Przebudowa, modernizacja i remont świetlic wiejskich-Dziesław - </t>
  </si>
  <si>
    <t>1.3.2.17</t>
  </si>
  <si>
    <t xml:space="preserve">Rewitalizacja miasta- dotacje dla podmiotów i osób fizycznych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</si>
</sst>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8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AEAEA"/>
      </patternFill>
    </fill>
    <fill>
      <patternFill patternType="solid">
        <fgColor rgb="FFFFD099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/>
    <xf numFmtId="4" fontId="2" fillId="3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vertical="center" wrapText="1"/>
    </xf>
    <xf numFmtId="1" fontId="1" fillId="4" borderId="1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 wrapText="1"/>
    </xf>
    <xf numFmtId="4" fontId="1" fillId="5" borderId="1" xfId="0" applyNumberFormat="1" applyFont="1" applyFill="1" applyBorder="1" applyAlignment="1">
      <alignment vertical="center" wrapText="1"/>
    </xf>
    <xf numFmtId="1" fontId="1" fillId="5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12"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7.140625" customWidth="1"/>
    <col min="2" max="2" width="56.28515625" customWidth="1"/>
    <col min="3" max="3" width="14.28515625" customWidth="1"/>
    <col min="4" max="5" width="11.42578125" customWidth="1"/>
    <col min="6" max="12" width="14.2851562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4.25" customHeight="1" x14ac:dyDescent="0.25">
      <c r="A2" s="2" t="s">
        <v>12</v>
      </c>
      <c r="B2" s="3" t="s">
        <v>13</v>
      </c>
      <c r="C2" s="3"/>
      <c r="D2" s="4"/>
      <c r="E2" s="4"/>
      <c r="F2" s="5">
        <f>IF(ISNUMBER(VLOOKUP("1.1",A2:L38,6,FALSE)),ROUND(VLOOKUP("1.1",A2:L38,6,FALSE),4),0) + IF(ISNUMBER(VLOOKUP("1.2",A2:L38,6,FALSE)),ROUND(VLOOKUP("1.2",A2:L38,6,FALSE),4),0) + IF(ISNUMBER(VLOOKUP("1.3",A2:L38,6,FALSE)),ROUND(VLOOKUP("1.3",A2:L38,6,FALSE),4),0)</f>
        <v>197152134.92000002</v>
      </c>
      <c r="G2" s="5">
        <f>IF(ISNUMBER(VLOOKUP("1.1",A2:L38,7,FALSE)),ROUND(VLOOKUP("1.1",A2:L38,7,FALSE),4),0) + IF(ISNUMBER(VLOOKUP("1.2",A2:L38,7,FALSE)),ROUND(VLOOKUP("1.2",A2:L38,7,FALSE),4),0) + IF(ISNUMBER(VLOOKUP("1.3",A2:L38,7,FALSE)),ROUND(VLOOKUP("1.3",A2:L38,7,FALSE),4),0)</f>
        <v>44507562.840000004</v>
      </c>
      <c r="H2" s="5">
        <f>IF(ISNUMBER(VLOOKUP("1.1",A2:L38,8,FALSE)),ROUND(VLOOKUP("1.1",A2:L38,8,FALSE),4),0) + IF(ISNUMBER(VLOOKUP("1.2",A2:L38,8,FALSE)),ROUND(VLOOKUP("1.2",A2:L38,8,FALSE),4),0) + IF(ISNUMBER(VLOOKUP("1.3",A2:L38,8,FALSE)),ROUND(VLOOKUP("1.3",A2:L38,8,FALSE),4),0)</f>
        <v>59157050.130000003</v>
      </c>
      <c r="I2" s="5">
        <f>IF(ISNUMBER(VLOOKUP("1.1",A2:L38,9,FALSE)),ROUND(VLOOKUP("1.1",A2:L38,9,FALSE),4),0) + IF(ISNUMBER(VLOOKUP("1.2",A2:L38,9,FALSE)),ROUND(VLOOKUP("1.2",A2:L38,9,FALSE),4),0) + IF(ISNUMBER(VLOOKUP("1.3",A2:L38,9,FALSE)),ROUND(VLOOKUP("1.3",A2:L38,9,FALSE),4),0)</f>
        <v>42189105.980000004</v>
      </c>
      <c r="J2" s="5">
        <f>IF(ISNUMBER(VLOOKUP("1.1",A2:L38,10,FALSE)),ROUND(VLOOKUP("1.1",A2:L38,10,FALSE),4),0) + IF(ISNUMBER(VLOOKUP("1.2",A2:L38,10,FALSE)),ROUND(VLOOKUP("1.2",A2:L38,10,FALSE),4),0) + IF(ISNUMBER(VLOOKUP("1.3",A2:L38,10,FALSE)),ROUND(VLOOKUP("1.3",A2:L38,10,FALSE),4),0)</f>
        <v>38969123.090000004</v>
      </c>
      <c r="K2" s="5">
        <f>IF(ISNUMBER(VLOOKUP("1.1",A2:L38,11,FALSE)),ROUND(VLOOKUP("1.1",A2:L38,11,FALSE),4),0) + IF(ISNUMBER(VLOOKUP("1.2",A2:L38,11,FALSE)),ROUND(VLOOKUP("1.2",A2:L38,11,FALSE),4),0) + IF(ISNUMBER(VLOOKUP("1.3",A2:L38,11,FALSE)),ROUND(VLOOKUP("1.3",A2:L38,11,FALSE),4),0)</f>
        <v>2750000</v>
      </c>
      <c r="L2" s="5">
        <f>IF(ISNUMBER(VLOOKUP("1.1",A2:L38,12,FALSE)),ROUND(VLOOKUP("1.1",A2:L38,12,FALSE),4),0) + IF(ISNUMBER(VLOOKUP("1.2",A2:L38,12,FALSE)),ROUND(VLOOKUP("1.2",A2:L38,12,FALSE),4),0) + IF(ISNUMBER(VLOOKUP("1.3",A2:L38,12,FALSE)),ROUND(VLOOKUP("1.3",A2:L38,12,FALSE),4),0)</f>
        <v>187624195.03</v>
      </c>
    </row>
    <row r="3" spans="1:12" ht="14.25" customHeight="1" x14ac:dyDescent="0.25">
      <c r="A3" s="2" t="s">
        <v>14</v>
      </c>
      <c r="B3" s="3" t="s">
        <v>15</v>
      </c>
      <c r="C3" s="3"/>
      <c r="D3" s="4"/>
      <c r="E3" s="4"/>
      <c r="F3" s="5">
        <f>IF(ISNUMBER(VLOOKUP("1.1.1",A2:L38,6,FALSE)),ROUND(VLOOKUP("1.1.1",A2:L38,6,FALSE),4),0) + IF(ISNUMBER(VLOOKUP("1.2.1",A2:L38,6,FALSE)),ROUND(VLOOKUP("1.2.1",A2:L38,6,FALSE),4),0) + IF(ISNUMBER(VLOOKUP("1.3.1",A2:L38,6,FALSE)),ROUND(VLOOKUP("1.3.1",A2:L38,6,FALSE),4),0)</f>
        <v>0</v>
      </c>
      <c r="G3" s="5">
        <f>IF(ISNUMBER(VLOOKUP("1.1.1",A2:L38,7,FALSE)),ROUND(VLOOKUP("1.1.1",A2:L38,7,FALSE),4),0) + IF(ISNUMBER(VLOOKUP("1.2.1",A2:L38,7,FALSE)),ROUND(VLOOKUP("1.2.1",A2:L38,7,FALSE),4),0) + IF(ISNUMBER(VLOOKUP("1.3.1",A2:L38,7,FALSE)),ROUND(VLOOKUP("1.3.1",A2:L38,7,FALSE),4),0)</f>
        <v>0</v>
      </c>
      <c r="H3" s="5">
        <f>IF(ISNUMBER(VLOOKUP("1.1.1",A2:L38,8,FALSE)),ROUND(VLOOKUP("1.1.1",A2:L38,8,FALSE),4),0) + IF(ISNUMBER(VLOOKUP("1.2.1",A2:L38,8,FALSE)),ROUND(VLOOKUP("1.2.1",A2:L38,8,FALSE),4),0) + IF(ISNUMBER(VLOOKUP("1.3.1",A2:L38,8,FALSE)),ROUND(VLOOKUP("1.3.1",A2:L38,8,FALSE),4),0)</f>
        <v>0</v>
      </c>
      <c r="I3" s="5">
        <f>IF(ISNUMBER(VLOOKUP("1.1.1",A2:L38,9,FALSE)),ROUND(VLOOKUP("1.1.1",A2:L38,9,FALSE),4),0) + IF(ISNUMBER(VLOOKUP("1.2.1",A2:L38,9,FALSE)),ROUND(VLOOKUP("1.2.1",A2:L38,9,FALSE),4),0) + IF(ISNUMBER(VLOOKUP("1.3.1",A2:L38,9,FALSE)),ROUND(VLOOKUP("1.3.1",A2:L38,9,FALSE),4),0)</f>
        <v>0</v>
      </c>
      <c r="J3" s="5">
        <f>IF(ISNUMBER(VLOOKUP("1.1.1",A2:L38,10,FALSE)),ROUND(VLOOKUP("1.1.1",A2:L38,10,FALSE),4),0) + IF(ISNUMBER(VLOOKUP("1.2.1",A2:L38,10,FALSE)),ROUND(VLOOKUP("1.2.1",A2:L38,10,FALSE),4),0) + IF(ISNUMBER(VLOOKUP("1.3.1",A2:L38,10,FALSE)),ROUND(VLOOKUP("1.3.1",A2:L38,10,FALSE),4),0)</f>
        <v>0</v>
      </c>
      <c r="K3" s="5">
        <f>IF(ISNUMBER(VLOOKUP("1.1.1",A2:L38,11,FALSE)),ROUND(VLOOKUP("1.1.1",A2:L38,11,FALSE),4),0) + IF(ISNUMBER(VLOOKUP("1.2.1",A2:L38,11,FALSE)),ROUND(VLOOKUP("1.2.1",A2:L38,11,FALSE),4),0) + IF(ISNUMBER(VLOOKUP("1.3.1",A2:L38,11,FALSE)),ROUND(VLOOKUP("1.3.1",A2:L38,11,FALSE),4),0)</f>
        <v>0</v>
      </c>
      <c r="L3" s="5">
        <f>IF(ISNUMBER(VLOOKUP("1.1.1",A2:L38,12,FALSE)),ROUND(VLOOKUP("1.1.1",A2:L38,12,FALSE),4),0) + IF(ISNUMBER(VLOOKUP("1.2.1",A2:L38,12,FALSE)),ROUND(VLOOKUP("1.2.1",A2:L38,12,FALSE),4),0) + IF(ISNUMBER(VLOOKUP("1.3.1",A2:L38,12,FALSE)),ROUND(VLOOKUP("1.3.1",A2:L38,12,FALSE),4),0)</f>
        <v>0</v>
      </c>
    </row>
    <row r="4" spans="1:12" ht="14.25" customHeight="1" x14ac:dyDescent="0.25">
      <c r="A4" s="2" t="s">
        <v>16</v>
      </c>
      <c r="B4" s="3" t="s">
        <v>17</v>
      </c>
      <c r="C4" s="3"/>
      <c r="D4" s="4"/>
      <c r="E4" s="4"/>
      <c r="F4" s="5">
        <f>IF(ISNUMBER(VLOOKUP("1.1.2",A2:L38,6,FALSE)),ROUND(VLOOKUP("1.1.2",A2:L38,6,FALSE),4),0) + IF(ISNUMBER(VLOOKUP("1.2.2",A2:L38,6,FALSE)),ROUND(VLOOKUP("1.2.2",A2:L38,6,FALSE),4),0) + IF(ISNUMBER(VLOOKUP("1.3.2",A2:L38,6,FALSE)),ROUND(VLOOKUP("1.3.2",A2:L38,6,FALSE),4),0)</f>
        <v>197152134.92000002</v>
      </c>
      <c r="G4" s="5">
        <f>IF(ISNUMBER(VLOOKUP("1.1.2",A2:L38,7,FALSE)),ROUND(VLOOKUP("1.1.2",A2:L38,7,FALSE),4),0) + IF(ISNUMBER(VLOOKUP("1.2.2",A2:L38,7,FALSE)),ROUND(VLOOKUP("1.2.2",A2:L38,7,FALSE),4),0) + IF(ISNUMBER(VLOOKUP("1.3.2",A2:L38,7,FALSE)),ROUND(VLOOKUP("1.3.2",A2:L38,7,FALSE),4),0)</f>
        <v>44507562.840000004</v>
      </c>
      <c r="H4" s="5">
        <f>IF(ISNUMBER(VLOOKUP("1.1.2",A2:L38,8,FALSE)),ROUND(VLOOKUP("1.1.2",A2:L38,8,FALSE),4),0) + IF(ISNUMBER(VLOOKUP("1.2.2",A2:L38,8,FALSE)),ROUND(VLOOKUP("1.2.2",A2:L38,8,FALSE),4),0) + IF(ISNUMBER(VLOOKUP("1.3.2",A2:L38,8,FALSE)),ROUND(VLOOKUP("1.3.2",A2:L38,8,FALSE),4),0)</f>
        <v>59157050.130000003</v>
      </c>
      <c r="I4" s="5">
        <f>IF(ISNUMBER(VLOOKUP("1.1.2",A2:L38,9,FALSE)),ROUND(VLOOKUP("1.1.2",A2:L38,9,FALSE),4),0) + IF(ISNUMBER(VLOOKUP("1.2.2",A2:L38,9,FALSE)),ROUND(VLOOKUP("1.2.2",A2:L38,9,FALSE),4),0) + IF(ISNUMBER(VLOOKUP("1.3.2",A2:L38,9,FALSE)),ROUND(VLOOKUP("1.3.2",A2:L38,9,FALSE),4),0)</f>
        <v>42189105.980000004</v>
      </c>
      <c r="J4" s="5">
        <f>IF(ISNUMBER(VLOOKUP("1.1.2",A2:L38,10,FALSE)),ROUND(VLOOKUP("1.1.2",A2:L38,10,FALSE),4),0) + IF(ISNUMBER(VLOOKUP("1.2.2",A2:L38,10,FALSE)),ROUND(VLOOKUP("1.2.2",A2:L38,10,FALSE),4),0) + IF(ISNUMBER(VLOOKUP("1.3.2",A2:L38,10,FALSE)),ROUND(VLOOKUP("1.3.2",A2:L38,10,FALSE),4),0)</f>
        <v>38969123.090000004</v>
      </c>
      <c r="K4" s="5">
        <f>IF(ISNUMBER(VLOOKUP("1.1.2",A2:L38,11,FALSE)),ROUND(VLOOKUP("1.1.2",A2:L38,11,FALSE),4),0) + IF(ISNUMBER(VLOOKUP("1.2.2",A2:L38,11,FALSE)),ROUND(VLOOKUP("1.2.2",A2:L38,11,FALSE),4),0) + IF(ISNUMBER(VLOOKUP("1.3.2",A2:L38,11,FALSE)),ROUND(VLOOKUP("1.3.2",A2:L38,11,FALSE),4),0)</f>
        <v>2750000</v>
      </c>
      <c r="L4" s="5">
        <f>IF(ISNUMBER(VLOOKUP("1.1.2",A2:L38,12,FALSE)),ROUND(VLOOKUP("1.1.2",A2:L38,12,FALSE),4),0) + IF(ISNUMBER(VLOOKUP("1.2.2",A2:L38,12,FALSE)),ROUND(VLOOKUP("1.2.2",A2:L38,12,FALSE),4),0) + IF(ISNUMBER(VLOOKUP("1.3.2",A2:L38,12,FALSE)),ROUND(VLOOKUP("1.3.2",A2:L38,12,FALSE),4),0)</f>
        <v>187624195.03</v>
      </c>
    </row>
    <row r="5" spans="1:12" ht="52.9" customHeight="1" x14ac:dyDescent="0.25">
      <c r="A5" s="2" t="s">
        <v>18</v>
      </c>
      <c r="B5" s="3" t="s">
        <v>19</v>
      </c>
      <c r="C5" s="3"/>
      <c r="D5" s="4"/>
      <c r="E5" s="4"/>
      <c r="F5" s="5">
        <f>IF(ISNUMBER(VLOOKUP("1.1.1",A2:L38,6,FALSE)),ROUND(VLOOKUP("1.1.1",A2:L38,6,FALSE),4),0) + IF(ISNUMBER(VLOOKUP("1.1.2",A2:L38,6,FALSE)),ROUND(VLOOKUP("1.1.2",A2:L38,6,FALSE),4),0)</f>
        <v>163874185.24000001</v>
      </c>
      <c r="G5" s="5">
        <f>IF(ISNUMBER(VLOOKUP("1.1.1",A2:L38,7,FALSE)),ROUND(VLOOKUP("1.1.1",A2:L38,7,FALSE),4),0) + IF(ISNUMBER(VLOOKUP("1.1.2",A2:L38,7,FALSE)),ROUND(VLOOKUP("1.1.2",A2:L38,7,FALSE),4),0)</f>
        <v>33304916.050000001</v>
      </c>
      <c r="H5" s="5">
        <f>IF(ISNUMBER(VLOOKUP("1.1.1",A2:L38,8,FALSE)),ROUND(VLOOKUP("1.1.1",A2:L38,8,FALSE),4),0) + IF(ISNUMBER(VLOOKUP("1.1.2",A2:L38,8,FALSE)),ROUND(VLOOKUP("1.1.2",A2:L38,8,FALSE),4),0)</f>
        <v>48888723.780000001</v>
      </c>
      <c r="I5" s="5">
        <f>IF(ISNUMBER(VLOOKUP("1.1.1",A2:L38,9,FALSE)),ROUND(VLOOKUP("1.1.1",A2:L38,9,FALSE),4),0) + IF(ISNUMBER(VLOOKUP("1.1.2",A2:L38,9,FALSE)),ROUND(VLOOKUP("1.1.2",A2:L38,9,FALSE),4),0)</f>
        <v>37669647.630000003</v>
      </c>
      <c r="J5" s="5">
        <f>IF(ISNUMBER(VLOOKUP("1.1.1",A2:L38,10,FALSE)),ROUND(VLOOKUP("1.1.1",A2:L38,10,FALSE),4),0) + IF(ISNUMBER(VLOOKUP("1.1.2",A2:L38,10,FALSE)),ROUND(VLOOKUP("1.1.2",A2:L38,10,FALSE),4),0)</f>
        <v>35476664.740000002</v>
      </c>
      <c r="K5" s="5">
        <f>IF(ISNUMBER(VLOOKUP("1.1.1",A2:L38,11,FALSE)),ROUND(VLOOKUP("1.1.1",A2:L38,11,FALSE),4),0) + IF(ISNUMBER(VLOOKUP("1.1.2",A2:L38,11,FALSE)),ROUND(VLOOKUP("1.1.2",A2:L38,11,FALSE),4),0)</f>
        <v>0</v>
      </c>
      <c r="L5" s="5">
        <f>IF(ISNUMBER(VLOOKUP("1.1.1",A2:L38,12,FALSE)),ROUND(VLOOKUP("1.1.1",A2:L38,12,FALSE),4),0) + IF(ISNUMBER(VLOOKUP("1.1.2",A2:L38,12,FALSE)),ROUND(VLOOKUP("1.1.2",A2:L38,12,FALSE),4),0)</f>
        <v>155570428.19</v>
      </c>
    </row>
    <row r="6" spans="1:12" ht="14.25" customHeight="1" x14ac:dyDescent="0.25">
      <c r="A6" s="2" t="s">
        <v>20</v>
      </c>
      <c r="B6" s="3" t="s">
        <v>15</v>
      </c>
      <c r="C6" s="3"/>
      <c r="D6" s="4"/>
      <c r="E6" s="4"/>
      <c r="F6" s="5">
        <f>SUMIF(A7:A38, "1.1.1.*", F7:F38)</f>
        <v>0</v>
      </c>
      <c r="G6" s="5">
        <f>SUMIF(A7:A38, "1.1.1.*", G7:G38)</f>
        <v>0</v>
      </c>
      <c r="H6" s="5">
        <f>SUMIF(A7:A38, "1.1.1.*", H7:H38)</f>
        <v>0</v>
      </c>
      <c r="I6" s="5">
        <f>SUMIF(A7:A38, "1.1.1.*", I7:I38)</f>
        <v>0</v>
      </c>
      <c r="J6" s="5">
        <f>SUMIF(A7:A38, "1.1.1.*", J7:J38)</f>
        <v>0</v>
      </c>
      <c r="K6" s="5">
        <f>SUMIF(A7:A38, "1.1.1.*", K7:K38)</f>
        <v>0</v>
      </c>
      <c r="L6" s="5">
        <f>SUMIF(A7:A38, "1.1.1.*", L7:L38)</f>
        <v>0</v>
      </c>
    </row>
    <row r="7" spans="1:12" ht="14.25" customHeight="1" x14ac:dyDescent="0.25">
      <c r="A7" s="2" t="s">
        <v>21</v>
      </c>
      <c r="B7" s="3" t="s">
        <v>17</v>
      </c>
      <c r="C7" s="3"/>
      <c r="D7" s="4"/>
      <c r="E7" s="4"/>
      <c r="F7" s="5">
        <f>SUMIF(A8:A38, "1.1.2.*", F8:F38)</f>
        <v>163874185.23999998</v>
      </c>
      <c r="G7" s="5">
        <f>SUMIF(A8:A38, "1.1.2.*", G8:G38)</f>
        <v>33304916.050000001</v>
      </c>
      <c r="H7" s="5">
        <f>SUMIF(A8:A38, "1.1.2.*", H8:H38)</f>
        <v>48888723.780000001</v>
      </c>
      <c r="I7" s="5">
        <f>SUMIF(A8:A38, "1.1.2.*", I8:I38)</f>
        <v>37669647.630000003</v>
      </c>
      <c r="J7" s="5">
        <f>SUMIF(A8:A38, "1.1.2.*", J8:J38)</f>
        <v>35476664.740000002</v>
      </c>
      <c r="K7" s="5">
        <f>SUMIF(A8:A38, "1.1.2.*", K8:K38)</f>
        <v>0</v>
      </c>
      <c r="L7" s="5">
        <f>SUMIF(A8:A38, "1.1.2.*", L8:L38)</f>
        <v>155570428.19</v>
      </c>
    </row>
    <row r="8" spans="1:12" ht="39.950000000000003" customHeight="1" x14ac:dyDescent="0.25">
      <c r="A8" s="6" t="s">
        <v>22</v>
      </c>
      <c r="B8" s="7" t="s">
        <v>23</v>
      </c>
      <c r="C8" s="7" t="s">
        <v>24</v>
      </c>
      <c r="D8" s="8">
        <v>2017</v>
      </c>
      <c r="E8" s="8">
        <v>2019</v>
      </c>
      <c r="F8" s="9">
        <v>6781027.3399999999</v>
      </c>
      <c r="G8" s="9">
        <v>6778670.6500000004</v>
      </c>
      <c r="H8" s="9">
        <v>0</v>
      </c>
      <c r="I8" s="9">
        <v>0</v>
      </c>
      <c r="J8" s="9">
        <v>0</v>
      </c>
      <c r="K8" s="9">
        <v>0</v>
      </c>
      <c r="L8" s="9">
        <v>6781027.3399999999</v>
      </c>
    </row>
    <row r="9" spans="1:12" ht="27" customHeight="1" x14ac:dyDescent="0.25">
      <c r="A9" s="10" t="s">
        <v>25</v>
      </c>
      <c r="B9" s="11" t="s">
        <v>26</v>
      </c>
      <c r="C9" s="12" t="s">
        <v>24</v>
      </c>
      <c r="D9" s="13">
        <v>2017</v>
      </c>
      <c r="E9" s="13">
        <v>2019</v>
      </c>
      <c r="F9" s="14">
        <v>1963878.16</v>
      </c>
      <c r="G9" s="14">
        <v>1929991.66</v>
      </c>
      <c r="H9" s="15">
        <v>0</v>
      </c>
      <c r="I9" s="15">
        <v>0</v>
      </c>
      <c r="J9" s="15">
        <v>0</v>
      </c>
      <c r="K9" s="15">
        <v>0</v>
      </c>
      <c r="L9" s="14">
        <v>1929991.66</v>
      </c>
    </row>
    <row r="10" spans="1:12" ht="39.950000000000003" customHeight="1" x14ac:dyDescent="0.25">
      <c r="A10" s="6" t="s">
        <v>27</v>
      </c>
      <c r="B10" s="7" t="s">
        <v>28</v>
      </c>
      <c r="C10" s="7" t="s">
        <v>24</v>
      </c>
      <c r="D10" s="8">
        <v>2016</v>
      </c>
      <c r="E10" s="8">
        <v>2020</v>
      </c>
      <c r="F10" s="9">
        <v>15479069.02</v>
      </c>
      <c r="G10" s="9">
        <v>5789470.46</v>
      </c>
      <c r="H10" s="9">
        <v>8977964.2599999998</v>
      </c>
      <c r="I10" s="9">
        <v>0</v>
      </c>
      <c r="J10" s="9">
        <v>0</v>
      </c>
      <c r="K10" s="9">
        <v>0</v>
      </c>
      <c r="L10" s="9">
        <v>14827006.27</v>
      </c>
    </row>
    <row r="11" spans="1:12" ht="39.950000000000003" customHeight="1" x14ac:dyDescent="0.25">
      <c r="A11" s="10" t="s">
        <v>29</v>
      </c>
      <c r="B11" s="11" t="s">
        <v>30</v>
      </c>
      <c r="C11" s="12" t="s">
        <v>24</v>
      </c>
      <c r="D11" s="13">
        <v>2017</v>
      </c>
      <c r="E11" s="13">
        <v>2021</v>
      </c>
      <c r="F11" s="14">
        <v>8652300.4299999997</v>
      </c>
      <c r="G11" s="14">
        <v>1741222.76</v>
      </c>
      <c r="H11" s="14">
        <v>4434094.78</v>
      </c>
      <c r="I11" s="14">
        <v>2192982.89</v>
      </c>
      <c r="J11" s="15">
        <v>0</v>
      </c>
      <c r="K11" s="15">
        <v>0</v>
      </c>
      <c r="L11" s="14">
        <v>8368300.4299999997</v>
      </c>
    </row>
    <row r="12" spans="1:12" ht="78.599999999999994" customHeight="1" x14ac:dyDescent="0.25">
      <c r="A12" s="6" t="s">
        <v>31</v>
      </c>
      <c r="B12" s="7" t="s">
        <v>32</v>
      </c>
      <c r="C12" s="7" t="s">
        <v>24</v>
      </c>
      <c r="D12" s="8">
        <v>2015</v>
      </c>
      <c r="E12" s="8">
        <v>2022</v>
      </c>
      <c r="F12" s="9">
        <v>121260269.63</v>
      </c>
      <c r="G12" s="9">
        <v>12613542.060000001</v>
      </c>
      <c r="H12" s="9">
        <v>35476664.740000002</v>
      </c>
      <c r="I12" s="9">
        <v>35476664.740000002</v>
      </c>
      <c r="J12" s="9">
        <v>35476664.740000002</v>
      </c>
      <c r="K12" s="9">
        <v>0</v>
      </c>
      <c r="L12" s="9">
        <v>119148536.28</v>
      </c>
    </row>
    <row r="13" spans="1:12" ht="104.25" customHeight="1" x14ac:dyDescent="0.25">
      <c r="A13" s="6" t="s">
        <v>33</v>
      </c>
      <c r="B13" s="7" t="s">
        <v>34</v>
      </c>
      <c r="C13" s="7" t="s">
        <v>24</v>
      </c>
      <c r="D13" s="8">
        <v>2017</v>
      </c>
      <c r="E13" s="8">
        <v>2019</v>
      </c>
      <c r="F13" s="9">
        <v>9737640.6600000001</v>
      </c>
      <c r="G13" s="9">
        <v>4452018.46</v>
      </c>
      <c r="H13" s="9">
        <v>0</v>
      </c>
      <c r="I13" s="9">
        <v>0</v>
      </c>
      <c r="J13" s="9">
        <v>0</v>
      </c>
      <c r="K13" s="9">
        <v>0</v>
      </c>
      <c r="L13" s="9">
        <v>4515566.21</v>
      </c>
    </row>
    <row r="14" spans="1:12" ht="27" customHeight="1" x14ac:dyDescent="0.25">
      <c r="A14" s="2" t="s">
        <v>35</v>
      </c>
      <c r="B14" s="3" t="s">
        <v>36</v>
      </c>
      <c r="C14" s="3"/>
      <c r="D14" s="4"/>
      <c r="E14" s="4"/>
      <c r="F14" s="5">
        <f>IF(ISNUMBER(VLOOKUP("1.2.1",A2:L38,6,FALSE)),ROUND(VLOOKUP("1.2.1",A2:L38,6,FALSE),4),0) + IF(ISNUMBER(VLOOKUP("1.2.2",A2:L38,6,FALSE)),ROUND(VLOOKUP("1.2.2",A2:L38,6,FALSE),4),0)</f>
        <v>3524833.4</v>
      </c>
      <c r="G14" s="5">
        <f>IF(ISNUMBER(VLOOKUP("1.2.1",A2:L38,7,FALSE)),ROUND(VLOOKUP("1.2.1",A2:L38,7,FALSE),4),0) + IF(ISNUMBER(VLOOKUP("1.2.2",A2:L38,7,FALSE)),ROUND(VLOOKUP("1.2.2",A2:L38,7,FALSE),4),0)</f>
        <v>854436.44</v>
      </c>
      <c r="H14" s="5">
        <f>IF(ISNUMBER(VLOOKUP("1.2.1",A2:L38,8,FALSE)),ROUND(VLOOKUP("1.2.1",A2:L38,8,FALSE),4),0) + IF(ISNUMBER(VLOOKUP("1.2.2",A2:L38,8,FALSE)),ROUND(VLOOKUP("1.2.2",A2:L38,8,FALSE),4),0)</f>
        <v>692458.35</v>
      </c>
      <c r="I14" s="5">
        <f>IF(ISNUMBER(VLOOKUP("1.2.1",A2:L38,9,FALSE)),ROUND(VLOOKUP("1.2.1",A2:L38,9,FALSE),4),0) + IF(ISNUMBER(VLOOKUP("1.2.2",A2:L38,9,FALSE)),ROUND(VLOOKUP("1.2.2",A2:L38,9,FALSE),4),0)</f>
        <v>692458.35</v>
      </c>
      <c r="J14" s="5">
        <f>IF(ISNUMBER(VLOOKUP("1.2.1",A2:L38,10,FALSE)),ROUND(VLOOKUP("1.2.1",A2:L38,10,FALSE),4),0) + IF(ISNUMBER(VLOOKUP("1.2.2",A2:L38,10,FALSE)),ROUND(VLOOKUP("1.2.2",A2:L38,10,FALSE),4),0)</f>
        <v>692458.35</v>
      </c>
      <c r="K14" s="5">
        <f>IF(ISNUMBER(VLOOKUP("1.2.1",A2:L38,11,FALSE)),ROUND(VLOOKUP("1.2.1",A2:L38,11,FALSE),4),0) + IF(ISNUMBER(VLOOKUP("1.2.2",A2:L38,11,FALSE)),ROUND(VLOOKUP("1.2.2",A2:L38,11,FALSE),4),0)</f>
        <v>0</v>
      </c>
      <c r="L14" s="5">
        <f>IF(ISNUMBER(VLOOKUP("1.2.1",A2:L38,12,FALSE)),ROUND(VLOOKUP("1.2.1",A2:L38,12,FALSE),4),0) + IF(ISNUMBER(VLOOKUP("1.2.2",A2:L38,12,FALSE)),ROUND(VLOOKUP("1.2.2",A2:L38,12,FALSE),4),0)</f>
        <v>2781811.49</v>
      </c>
    </row>
    <row r="15" spans="1:12" ht="14.25" customHeight="1" x14ac:dyDescent="0.25">
      <c r="A15" s="2" t="s">
        <v>37</v>
      </c>
      <c r="B15" s="3" t="s">
        <v>15</v>
      </c>
      <c r="C15" s="3"/>
      <c r="D15" s="4"/>
      <c r="E15" s="4"/>
      <c r="F15" s="5">
        <f>SUMIF(A16:A38, "1.2.1.*", F16:F38)</f>
        <v>0</v>
      </c>
      <c r="G15" s="5">
        <f>SUMIF(A16:A38, "1.2.1.*", G16:G38)</f>
        <v>0</v>
      </c>
      <c r="H15" s="5">
        <f>SUMIF(A16:A38, "1.2.1.*", H16:H38)</f>
        <v>0</v>
      </c>
      <c r="I15" s="5">
        <f>SUMIF(A16:A38, "1.2.1.*", I16:I38)</f>
        <v>0</v>
      </c>
      <c r="J15" s="5">
        <f>SUMIF(A16:A38, "1.2.1.*", J16:J38)</f>
        <v>0</v>
      </c>
      <c r="K15" s="5">
        <f>SUMIF(A16:A38, "1.2.1.*", K16:K38)</f>
        <v>0</v>
      </c>
      <c r="L15" s="5">
        <f>SUMIF(A16:A38, "1.2.1.*", L16:L38)</f>
        <v>0</v>
      </c>
    </row>
    <row r="16" spans="1:12" ht="14.25" customHeight="1" x14ac:dyDescent="0.25">
      <c r="A16" s="2" t="s">
        <v>38</v>
      </c>
      <c r="B16" s="3" t="s">
        <v>17</v>
      </c>
      <c r="C16" s="3"/>
      <c r="D16" s="4"/>
      <c r="E16" s="4"/>
      <c r="F16" s="5">
        <f>SUMIF(A17:A38, "1.2.2.*", F17:F38)</f>
        <v>3524833.4</v>
      </c>
      <c r="G16" s="5">
        <f>SUMIF(A17:A38, "1.2.2.*", G17:G38)</f>
        <v>854436.44</v>
      </c>
      <c r="H16" s="5">
        <f>SUMIF(A17:A38, "1.2.2.*", H17:H38)</f>
        <v>692458.35</v>
      </c>
      <c r="I16" s="5">
        <f>SUMIF(A17:A38, "1.2.2.*", I17:I38)</f>
        <v>692458.35</v>
      </c>
      <c r="J16" s="5">
        <f>SUMIF(A17:A38, "1.2.2.*", J17:J38)</f>
        <v>692458.35</v>
      </c>
      <c r="K16" s="5">
        <f>SUMIF(A17:A38, "1.2.2.*", K17:K38)</f>
        <v>0</v>
      </c>
      <c r="L16" s="5">
        <f>SUMIF(A17:A38, "1.2.2.*", L17:L38)</f>
        <v>2781811.49</v>
      </c>
    </row>
    <row r="17" spans="1:12" ht="39.950000000000003" customHeight="1" x14ac:dyDescent="0.25">
      <c r="A17" s="10" t="s">
        <v>39</v>
      </c>
      <c r="B17" s="11" t="s">
        <v>40</v>
      </c>
      <c r="C17" s="12" t="s">
        <v>24</v>
      </c>
      <c r="D17" s="13">
        <v>2018</v>
      </c>
      <c r="E17" s="13">
        <v>2022</v>
      </c>
      <c r="F17" s="14">
        <v>3524833.4</v>
      </c>
      <c r="G17" s="14">
        <v>854436.44</v>
      </c>
      <c r="H17" s="14">
        <v>692458.35</v>
      </c>
      <c r="I17" s="14">
        <v>692458.35</v>
      </c>
      <c r="J17" s="14">
        <v>692458.35</v>
      </c>
      <c r="K17" s="15">
        <v>0</v>
      </c>
      <c r="L17" s="14">
        <v>2781811.49</v>
      </c>
    </row>
    <row r="18" spans="1:12" ht="27" customHeight="1" x14ac:dyDescent="0.25">
      <c r="A18" s="2" t="s">
        <v>41</v>
      </c>
      <c r="B18" s="3" t="s">
        <v>42</v>
      </c>
      <c r="C18" s="3"/>
      <c r="D18" s="4"/>
      <c r="E18" s="4"/>
      <c r="F18" s="5">
        <f>IF(ISNUMBER(VLOOKUP("1.3.1",A2:L38,6,FALSE)),ROUND(VLOOKUP("1.3.1",A2:L38,6,FALSE),4),0) + IF(ISNUMBER(VLOOKUP("1.3.2",A2:L38,6,FALSE)),ROUND(VLOOKUP("1.3.2",A2:L38,6,FALSE),4),0)</f>
        <v>29753116.280000001</v>
      </c>
      <c r="G18" s="5">
        <f>IF(ISNUMBER(VLOOKUP("1.3.1",A2:L38,7,FALSE)),ROUND(VLOOKUP("1.3.1",A2:L38,7,FALSE),4),0) + IF(ISNUMBER(VLOOKUP("1.3.2",A2:L38,7,FALSE)),ROUND(VLOOKUP("1.3.2",A2:L38,7,FALSE),4),0)</f>
        <v>10348210.35</v>
      </c>
      <c r="H18" s="5">
        <f>IF(ISNUMBER(VLOOKUP("1.3.1",A2:L38,8,FALSE)),ROUND(VLOOKUP("1.3.1",A2:L38,8,FALSE),4),0) + IF(ISNUMBER(VLOOKUP("1.3.2",A2:L38,8,FALSE)),ROUND(VLOOKUP("1.3.2",A2:L38,8,FALSE),4),0)</f>
        <v>9575868</v>
      </c>
      <c r="I18" s="5">
        <f>IF(ISNUMBER(VLOOKUP("1.3.1",A2:L38,9,FALSE)),ROUND(VLOOKUP("1.3.1",A2:L38,9,FALSE),4),0) + IF(ISNUMBER(VLOOKUP("1.3.2",A2:L38,9,FALSE)),ROUND(VLOOKUP("1.3.2",A2:L38,9,FALSE),4),0)</f>
        <v>3827000</v>
      </c>
      <c r="J18" s="5">
        <f>IF(ISNUMBER(VLOOKUP("1.3.1",A2:L38,10,FALSE)),ROUND(VLOOKUP("1.3.1",A2:L38,10,FALSE),4),0) + IF(ISNUMBER(VLOOKUP("1.3.2",A2:L38,10,FALSE)),ROUND(VLOOKUP("1.3.2",A2:L38,10,FALSE),4),0)</f>
        <v>2800000</v>
      </c>
      <c r="K18" s="5">
        <f>IF(ISNUMBER(VLOOKUP("1.3.1",A2:L38,11,FALSE)),ROUND(VLOOKUP("1.3.1",A2:L38,11,FALSE),4),0) + IF(ISNUMBER(VLOOKUP("1.3.2",A2:L38,11,FALSE)),ROUND(VLOOKUP("1.3.2",A2:L38,11,FALSE),4),0)</f>
        <v>2750000</v>
      </c>
      <c r="L18" s="5">
        <f>IF(ISNUMBER(VLOOKUP("1.3.1",A2:L38,12,FALSE)),ROUND(VLOOKUP("1.3.1",A2:L38,12,FALSE),4),0) + IF(ISNUMBER(VLOOKUP("1.3.2",A2:L38,12,FALSE)),ROUND(VLOOKUP("1.3.2",A2:L38,12,FALSE),4),0)</f>
        <v>29271955.350000001</v>
      </c>
    </row>
    <row r="19" spans="1:12" ht="14.25" customHeight="1" x14ac:dyDescent="0.25">
      <c r="A19" s="2" t="s">
        <v>43</v>
      </c>
      <c r="B19" s="3" t="s">
        <v>15</v>
      </c>
      <c r="C19" s="3"/>
      <c r="D19" s="4"/>
      <c r="E19" s="4"/>
      <c r="F19" s="5">
        <f>SUMIF(A20:A38, "1.3.1.*", F20:F38)</f>
        <v>0</v>
      </c>
      <c r="G19" s="5">
        <f>SUMIF(A20:A38, "1.3.1.*", G20:G38)</f>
        <v>0</v>
      </c>
      <c r="H19" s="5">
        <f>SUMIF(A20:A38, "1.3.1.*", H20:H38)</f>
        <v>0</v>
      </c>
      <c r="I19" s="5">
        <f>SUMIF(A20:A38, "1.3.1.*", I20:I38)</f>
        <v>0</v>
      </c>
      <c r="J19" s="5">
        <f>SUMIF(A20:A38, "1.3.1.*", J20:J38)</f>
        <v>0</v>
      </c>
      <c r="K19" s="5">
        <f>SUMIF(A20:A38, "1.3.1.*", K20:K38)</f>
        <v>0</v>
      </c>
      <c r="L19" s="5">
        <f>SUMIF(A20:A38, "1.3.1.*", L20:L38)</f>
        <v>0</v>
      </c>
    </row>
    <row r="20" spans="1:12" ht="14.25" customHeight="1" x14ac:dyDescent="0.25">
      <c r="A20" s="2" t="s">
        <v>44</v>
      </c>
      <c r="B20" s="3" t="s">
        <v>17</v>
      </c>
      <c r="C20" s="3"/>
      <c r="D20" s="4"/>
      <c r="E20" s="4"/>
      <c r="F20" s="5">
        <f>SUMIF(A21:A38, "1.3.2.*", F21:F38)</f>
        <v>29753116.280000001</v>
      </c>
      <c r="G20" s="5">
        <f>SUMIF(A21:A38, "1.3.2.*", G21:G38)</f>
        <v>10348210.35</v>
      </c>
      <c r="H20" s="5">
        <f>SUMIF(A21:A38, "1.3.2.*", H21:H38)</f>
        <v>9575868</v>
      </c>
      <c r="I20" s="5">
        <f>SUMIF(A21:A38, "1.3.2.*", I21:I38)</f>
        <v>3827000</v>
      </c>
      <c r="J20" s="5">
        <f>SUMIF(A21:A38, "1.3.2.*", J21:J38)</f>
        <v>2800000</v>
      </c>
      <c r="K20" s="5">
        <f>SUMIF(A21:A38, "1.3.2.*", K21:K38)</f>
        <v>2750000</v>
      </c>
      <c r="L20" s="5">
        <f>SUMIF(A21:A38, "1.3.2.*", L21:L38)</f>
        <v>29271955.350000001</v>
      </c>
    </row>
    <row r="21" spans="1:12" ht="52.9" customHeight="1" x14ac:dyDescent="0.25">
      <c r="A21" s="10" t="s">
        <v>45</v>
      </c>
      <c r="B21" s="11" t="s">
        <v>46</v>
      </c>
      <c r="C21" s="12" t="s">
        <v>24</v>
      </c>
      <c r="D21" s="13">
        <v>2016</v>
      </c>
      <c r="E21" s="13">
        <v>2019</v>
      </c>
      <c r="F21" s="14">
        <v>906403</v>
      </c>
      <c r="G21" s="14">
        <v>851403</v>
      </c>
      <c r="H21" s="15">
        <v>0</v>
      </c>
      <c r="I21" s="15">
        <v>0</v>
      </c>
      <c r="J21" s="15">
        <v>0</v>
      </c>
      <c r="K21" s="15">
        <v>0</v>
      </c>
      <c r="L21" s="14">
        <v>851403</v>
      </c>
    </row>
    <row r="22" spans="1:12" ht="52.9" customHeight="1" x14ac:dyDescent="0.25">
      <c r="A22" s="10" t="s">
        <v>47</v>
      </c>
      <c r="B22" s="11" t="s">
        <v>48</v>
      </c>
      <c r="C22" s="12" t="s">
        <v>24</v>
      </c>
      <c r="D22" s="13">
        <v>2016</v>
      </c>
      <c r="E22" s="13">
        <v>2019</v>
      </c>
      <c r="F22" s="14">
        <v>744385</v>
      </c>
      <c r="G22" s="14">
        <v>706871</v>
      </c>
      <c r="H22" s="15">
        <v>0</v>
      </c>
      <c r="I22" s="15">
        <v>0</v>
      </c>
      <c r="J22" s="15">
        <v>0</v>
      </c>
      <c r="K22" s="15">
        <v>0</v>
      </c>
      <c r="L22" s="14">
        <v>654748</v>
      </c>
    </row>
    <row r="23" spans="1:12" ht="27" customHeight="1" x14ac:dyDescent="0.25">
      <c r="A23" s="10" t="s">
        <v>49</v>
      </c>
      <c r="B23" s="11" t="s">
        <v>50</v>
      </c>
      <c r="C23" s="12" t="s">
        <v>24</v>
      </c>
      <c r="D23" s="13">
        <v>2018</v>
      </c>
      <c r="E23" s="13">
        <v>2019</v>
      </c>
      <c r="F23" s="14">
        <v>154000</v>
      </c>
      <c r="G23" s="14">
        <v>100000</v>
      </c>
      <c r="H23" s="15">
        <v>0</v>
      </c>
      <c r="I23" s="15">
        <v>0</v>
      </c>
      <c r="J23" s="15">
        <v>0</v>
      </c>
      <c r="K23" s="15">
        <v>0</v>
      </c>
      <c r="L23" s="14">
        <v>100000</v>
      </c>
    </row>
    <row r="24" spans="1:12" ht="39.950000000000003" customHeight="1" x14ac:dyDescent="0.25">
      <c r="A24" s="10" t="s">
        <v>51</v>
      </c>
      <c r="B24" s="11" t="s">
        <v>52</v>
      </c>
      <c r="C24" s="12" t="s">
        <v>24</v>
      </c>
      <c r="D24" s="13">
        <v>2017</v>
      </c>
      <c r="E24" s="13">
        <v>2020</v>
      </c>
      <c r="F24" s="14">
        <v>9839602</v>
      </c>
      <c r="G24" s="14">
        <v>4782734</v>
      </c>
      <c r="H24" s="14">
        <v>5056868</v>
      </c>
      <c r="I24" s="15">
        <v>0</v>
      </c>
      <c r="J24" s="15">
        <v>0</v>
      </c>
      <c r="K24" s="15">
        <v>0</v>
      </c>
      <c r="L24" s="14">
        <v>9839602</v>
      </c>
    </row>
    <row r="25" spans="1:12" ht="52.9" customHeight="1" x14ac:dyDescent="0.25">
      <c r="A25" s="6" t="s">
        <v>53</v>
      </c>
      <c r="B25" s="7" t="s">
        <v>54</v>
      </c>
      <c r="C25" s="7" t="s">
        <v>24</v>
      </c>
      <c r="D25" s="8">
        <v>2017</v>
      </c>
      <c r="E25" s="8">
        <v>2019</v>
      </c>
      <c r="F25" s="9">
        <v>415569</v>
      </c>
      <c r="G25" s="9">
        <v>383269</v>
      </c>
      <c r="H25" s="9">
        <v>0</v>
      </c>
      <c r="I25" s="9">
        <v>0</v>
      </c>
      <c r="J25" s="9">
        <v>0</v>
      </c>
      <c r="K25" s="9">
        <v>0</v>
      </c>
      <c r="L25" s="9">
        <v>403269</v>
      </c>
    </row>
    <row r="26" spans="1:12" ht="27" customHeight="1" x14ac:dyDescent="0.25">
      <c r="A26" s="10" t="s">
        <v>55</v>
      </c>
      <c r="B26" s="11" t="s">
        <v>56</v>
      </c>
      <c r="C26" s="12" t="s">
        <v>24</v>
      </c>
      <c r="D26" s="13">
        <v>2017</v>
      </c>
      <c r="E26" s="13">
        <v>2023</v>
      </c>
      <c r="F26" s="14">
        <v>12519807.279999999</v>
      </c>
      <c r="G26" s="14">
        <v>1594000</v>
      </c>
      <c r="H26" s="14">
        <v>2700000</v>
      </c>
      <c r="I26" s="14">
        <v>2700000</v>
      </c>
      <c r="J26" s="14">
        <v>2700000</v>
      </c>
      <c r="K26" s="14">
        <v>2700000</v>
      </c>
      <c r="L26" s="14">
        <v>12394000</v>
      </c>
    </row>
    <row r="27" spans="1:12" ht="27" customHeight="1" x14ac:dyDescent="0.25">
      <c r="A27" s="10" t="s">
        <v>57</v>
      </c>
      <c r="B27" s="11" t="s">
        <v>58</v>
      </c>
      <c r="C27" s="12" t="s">
        <v>24</v>
      </c>
      <c r="D27" s="13">
        <v>2018</v>
      </c>
      <c r="E27" s="13">
        <v>2019</v>
      </c>
      <c r="F27" s="14">
        <v>53075</v>
      </c>
      <c r="G27" s="14">
        <v>30933.35</v>
      </c>
      <c r="H27" s="15">
        <v>0</v>
      </c>
      <c r="I27" s="15">
        <v>0</v>
      </c>
      <c r="J27" s="15">
        <v>0</v>
      </c>
      <c r="K27" s="15">
        <v>0</v>
      </c>
      <c r="L27" s="14">
        <v>30933.35</v>
      </c>
    </row>
    <row r="28" spans="1:12" ht="27" customHeight="1" x14ac:dyDescent="0.25">
      <c r="A28" s="10" t="s">
        <v>59</v>
      </c>
      <c r="B28" s="11" t="s">
        <v>60</v>
      </c>
      <c r="C28" s="12" t="s">
        <v>24</v>
      </c>
      <c r="D28" s="13">
        <v>2020</v>
      </c>
      <c r="E28" s="13">
        <v>2021</v>
      </c>
      <c r="F28" s="14">
        <v>175000</v>
      </c>
      <c r="G28" s="15">
        <v>0</v>
      </c>
      <c r="H28" s="14">
        <v>0</v>
      </c>
      <c r="I28" s="14">
        <v>175000</v>
      </c>
      <c r="J28" s="15">
        <v>0</v>
      </c>
      <c r="K28" s="15">
        <v>0</v>
      </c>
      <c r="L28" s="14">
        <v>175000</v>
      </c>
    </row>
    <row r="29" spans="1:12" ht="27" customHeight="1" x14ac:dyDescent="0.25">
      <c r="A29" s="10" t="s">
        <v>61</v>
      </c>
      <c r="B29" s="11" t="s">
        <v>62</v>
      </c>
      <c r="C29" s="12" t="s">
        <v>24</v>
      </c>
      <c r="D29" s="13">
        <v>2020</v>
      </c>
      <c r="E29" s="13">
        <v>2021</v>
      </c>
      <c r="F29" s="14">
        <v>333000</v>
      </c>
      <c r="G29" s="15">
        <v>0</v>
      </c>
      <c r="H29" s="14">
        <v>0</v>
      </c>
      <c r="I29" s="14">
        <v>333000</v>
      </c>
      <c r="J29" s="15">
        <v>0</v>
      </c>
      <c r="K29" s="15">
        <v>0</v>
      </c>
      <c r="L29" s="14">
        <v>333000</v>
      </c>
    </row>
    <row r="30" spans="1:12" ht="27" customHeight="1" x14ac:dyDescent="0.25">
      <c r="A30" s="10" t="s">
        <v>63</v>
      </c>
      <c r="B30" s="11" t="s">
        <v>64</v>
      </c>
      <c r="C30" s="12" t="s">
        <v>24</v>
      </c>
      <c r="D30" s="13">
        <v>2020</v>
      </c>
      <c r="E30" s="13">
        <v>2021</v>
      </c>
      <c r="F30" s="14">
        <v>300000</v>
      </c>
      <c r="G30" s="15">
        <v>0</v>
      </c>
      <c r="H30" s="14">
        <v>0</v>
      </c>
      <c r="I30" s="14">
        <v>300000</v>
      </c>
      <c r="J30" s="15">
        <v>0</v>
      </c>
      <c r="K30" s="15">
        <v>0</v>
      </c>
      <c r="L30" s="14">
        <v>300000</v>
      </c>
    </row>
    <row r="31" spans="1:12" ht="27" customHeight="1" x14ac:dyDescent="0.25">
      <c r="A31" s="10" t="s">
        <v>65</v>
      </c>
      <c r="B31" s="11" t="s">
        <v>66</v>
      </c>
      <c r="C31" s="12" t="s">
        <v>24</v>
      </c>
      <c r="D31" s="13">
        <v>2019</v>
      </c>
      <c r="E31" s="13">
        <v>2020</v>
      </c>
      <c r="F31" s="14">
        <v>469000</v>
      </c>
      <c r="G31" s="14">
        <v>0</v>
      </c>
      <c r="H31" s="14">
        <v>469000</v>
      </c>
      <c r="I31" s="15">
        <v>0</v>
      </c>
      <c r="J31" s="15">
        <v>0</v>
      </c>
      <c r="K31" s="15">
        <v>0</v>
      </c>
      <c r="L31" s="14">
        <v>469000</v>
      </c>
    </row>
    <row r="32" spans="1:12" ht="27" customHeight="1" x14ac:dyDescent="0.25">
      <c r="A32" s="6" t="s">
        <v>67</v>
      </c>
      <c r="B32" s="7" t="s">
        <v>68</v>
      </c>
      <c r="C32" s="7" t="s">
        <v>24</v>
      </c>
      <c r="D32" s="8">
        <v>2018</v>
      </c>
      <c r="E32" s="8">
        <v>2019</v>
      </c>
      <c r="F32" s="9">
        <v>170075</v>
      </c>
      <c r="G32" s="9">
        <v>164000</v>
      </c>
      <c r="H32" s="9">
        <v>0</v>
      </c>
      <c r="I32" s="9">
        <v>0</v>
      </c>
      <c r="J32" s="9">
        <v>0</v>
      </c>
      <c r="K32" s="9">
        <v>0</v>
      </c>
      <c r="L32" s="9">
        <v>167000</v>
      </c>
    </row>
    <row r="33" spans="1:12" ht="27" customHeight="1" x14ac:dyDescent="0.25">
      <c r="A33" s="10" t="s">
        <v>69</v>
      </c>
      <c r="B33" s="11" t="s">
        <v>70</v>
      </c>
      <c r="C33" s="12" t="s">
        <v>24</v>
      </c>
      <c r="D33" s="13">
        <v>2019</v>
      </c>
      <c r="E33" s="13">
        <v>2020</v>
      </c>
      <c r="F33" s="14">
        <v>700000</v>
      </c>
      <c r="G33" s="14">
        <v>0</v>
      </c>
      <c r="H33" s="14">
        <v>700000</v>
      </c>
      <c r="I33" s="15">
        <v>0</v>
      </c>
      <c r="J33" s="15">
        <v>0</v>
      </c>
      <c r="K33" s="15">
        <v>0</v>
      </c>
      <c r="L33" s="14">
        <v>700000</v>
      </c>
    </row>
    <row r="34" spans="1:12" ht="27" customHeight="1" x14ac:dyDescent="0.25">
      <c r="A34" s="10" t="s">
        <v>71</v>
      </c>
      <c r="B34" s="11" t="s">
        <v>72</v>
      </c>
      <c r="C34" s="12" t="s">
        <v>24</v>
      </c>
      <c r="D34" s="13">
        <v>2017</v>
      </c>
      <c r="E34" s="13">
        <v>2019</v>
      </c>
      <c r="F34" s="14">
        <v>1804200</v>
      </c>
      <c r="G34" s="14">
        <v>1685000</v>
      </c>
      <c r="H34" s="15">
        <v>0</v>
      </c>
      <c r="I34" s="15">
        <v>0</v>
      </c>
      <c r="J34" s="15">
        <v>0</v>
      </c>
      <c r="K34" s="15">
        <v>0</v>
      </c>
      <c r="L34" s="14">
        <v>1685000</v>
      </c>
    </row>
    <row r="35" spans="1:12" ht="27" customHeight="1" x14ac:dyDescent="0.25">
      <c r="A35" s="10" t="s">
        <v>73</v>
      </c>
      <c r="B35" s="11" t="s">
        <v>74</v>
      </c>
      <c r="C35" s="12" t="s">
        <v>24</v>
      </c>
      <c r="D35" s="13">
        <v>2020</v>
      </c>
      <c r="E35" s="13">
        <v>2021</v>
      </c>
      <c r="F35" s="14">
        <v>219000</v>
      </c>
      <c r="G35" s="15">
        <v>0</v>
      </c>
      <c r="H35" s="14">
        <v>0</v>
      </c>
      <c r="I35" s="14">
        <v>219000</v>
      </c>
      <c r="J35" s="15">
        <v>0</v>
      </c>
      <c r="K35" s="15">
        <v>0</v>
      </c>
      <c r="L35" s="14">
        <v>219000</v>
      </c>
    </row>
    <row r="36" spans="1:12" ht="27" customHeight="1" x14ac:dyDescent="0.25">
      <c r="A36" s="10" t="s">
        <v>75</v>
      </c>
      <c r="B36" s="11" t="s">
        <v>76</v>
      </c>
      <c r="C36" s="12" t="s">
        <v>24</v>
      </c>
      <c r="D36" s="13">
        <v>2019</v>
      </c>
      <c r="E36" s="13">
        <v>2020</v>
      </c>
      <c r="F36" s="14">
        <v>550000</v>
      </c>
      <c r="G36" s="14">
        <v>0</v>
      </c>
      <c r="H36" s="14">
        <v>550000</v>
      </c>
      <c r="I36" s="15">
        <v>0</v>
      </c>
      <c r="J36" s="15">
        <v>0</v>
      </c>
      <c r="K36" s="15">
        <v>0</v>
      </c>
      <c r="L36" s="14">
        <v>550000</v>
      </c>
    </row>
    <row r="37" spans="1:12" ht="27" customHeight="1" x14ac:dyDescent="0.25">
      <c r="A37" s="10" t="s">
        <v>77</v>
      </c>
      <c r="B37" s="11" t="s">
        <v>78</v>
      </c>
      <c r="C37" s="12" t="s">
        <v>24</v>
      </c>
      <c r="D37" s="13">
        <v>2018</v>
      </c>
      <c r="E37" s="13">
        <v>2023</v>
      </c>
      <c r="F37" s="14">
        <v>400000</v>
      </c>
      <c r="G37" s="14">
        <v>50000</v>
      </c>
      <c r="H37" s="14">
        <v>100000</v>
      </c>
      <c r="I37" s="14">
        <v>100000</v>
      </c>
      <c r="J37" s="14">
        <v>100000</v>
      </c>
      <c r="K37" s="14">
        <v>50000</v>
      </c>
      <c r="L37" s="14">
        <v>400000</v>
      </c>
    </row>
  </sheetData>
  <conditionalFormatting sqref="B6:L6">
    <cfRule type="beginsWith" dxfId="11" priority="1" operator="beginsWith" text="Tak">
      <formula>LEFT(B6,LEN("Tak"))="Tak"</formula>
    </cfRule>
    <cfRule type="beginsWith" dxfId="10" priority="2" operator="beginsWith" text="Nie">
      <formula>LEFT(B6,LEN("Nie"))="Nie"</formula>
    </cfRule>
  </conditionalFormatting>
  <conditionalFormatting sqref="B7:L7">
    <cfRule type="beginsWith" dxfId="9" priority="3" operator="beginsWith" text="Tak">
      <formula>LEFT(B7,LEN("Tak"))="Tak"</formula>
    </cfRule>
    <cfRule type="beginsWith" dxfId="8" priority="4" operator="beginsWith" text="Nie">
      <formula>LEFT(B7,LEN("Nie"))="Nie"</formula>
    </cfRule>
  </conditionalFormatting>
  <conditionalFormatting sqref="B15:L15">
    <cfRule type="beginsWith" dxfId="7" priority="5" operator="beginsWith" text="Tak">
      <formula>LEFT(B15,LEN("Tak"))="Tak"</formula>
    </cfRule>
    <cfRule type="beginsWith" dxfId="6" priority="6" operator="beginsWith" text="Nie">
      <formula>LEFT(B15,LEN("Nie"))="Nie"</formula>
    </cfRule>
  </conditionalFormatting>
  <conditionalFormatting sqref="B16:L16">
    <cfRule type="beginsWith" dxfId="5" priority="7" operator="beginsWith" text="Tak">
      <formula>LEFT(B16,LEN("Tak"))="Tak"</formula>
    </cfRule>
    <cfRule type="beginsWith" dxfId="4" priority="8" operator="beginsWith" text="Nie">
      <formula>LEFT(B16,LEN("Nie"))="Nie"</formula>
    </cfRule>
  </conditionalFormatting>
  <conditionalFormatting sqref="B19:L19">
    <cfRule type="beginsWith" dxfId="3" priority="9" operator="beginsWith" text="Tak">
      <formula>LEFT(B19,LEN("Tak"))="Tak"</formula>
    </cfRule>
    <cfRule type="beginsWith" dxfId="2" priority="10" operator="beginsWith" text="Nie">
      <formula>LEFT(B19,LEN("Nie"))="Nie"</formula>
    </cfRule>
  </conditionalFormatting>
  <conditionalFormatting sqref="B20:L20">
    <cfRule type="beginsWith" dxfId="1" priority="11" operator="beginsWith" text="Tak">
      <formula>LEFT(B20,LEN("Tak"))="Tak"</formula>
    </cfRule>
    <cfRule type="beginsWith" dxfId="0" priority="12" operator="beginsWith" text="Nie">
      <formula>LEFT(B20,LEN("Nie"))="Nie"</formula>
    </cfRule>
  </conditionalFormatting>
  <pageMargins left="0.70866141732283472" right="0.70866141732283472" top="0.74803149606299213" bottom="0.74803149606299213" header="0.31496062992125984" footer="0.31496062992125984"/>
  <pageSetup paperSize="8" scale="65" orientation="portrait" r:id="rId1"/>
  <headerFooter>
    <oddHeader>&amp;RZałącznik nr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Wieloletnia prognoza finansowa</dc:title>
  <dc:subject>WPF Asystent - Załącznik 2</dc:subject>
  <dc:creator>http://www.curulis.pl</dc:creator>
  <cp:keywords>wpf, curulis, wieloletnia prognoza finansowa, wpf asystent</cp:keywords>
  <cp:lastModifiedBy>MDawedowska</cp:lastModifiedBy>
  <cp:lastPrinted>2019-05-20T09:35:11Z</cp:lastPrinted>
  <dcterms:modified xsi:type="dcterms:W3CDTF">2019-05-20T09:38:23Z</dcterms:modified>
</cp:coreProperties>
</file>