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B\UCHWAŁY RADY_2019\MAJ\WPF_21_05_2019\"/>
    </mc:Choice>
  </mc:AlternateContent>
  <xr:revisionPtr revIDLastSave="0" documentId="13_ncr:1_{90CD749A-D7C8-4755-BD57-D877B3E2FC4E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Załącznik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102" i="1" l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F55" i="1"/>
  <c r="E55" i="1"/>
  <c r="D55" i="1"/>
  <c r="C55" i="1"/>
  <c r="F54" i="1"/>
  <c r="E54" i="1"/>
  <c r="D54" i="1"/>
  <c r="C54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D16" i="1"/>
  <c r="AC16" i="1"/>
  <c r="AC15" i="1" s="1"/>
  <c r="AB16" i="1"/>
  <c r="AA16" i="1"/>
  <c r="AA15" i="1" s="1"/>
  <c r="Z16" i="1"/>
  <c r="Y16" i="1"/>
  <c r="Y15" i="1" s="1"/>
  <c r="X16" i="1"/>
  <c r="W16" i="1"/>
  <c r="W15" i="1" s="1"/>
  <c r="V16" i="1"/>
  <c r="U16" i="1"/>
  <c r="U15" i="1" s="1"/>
  <c r="T16" i="1"/>
  <c r="T15" i="1" s="1"/>
  <c r="S16" i="1"/>
  <c r="S15" i="1" s="1"/>
  <c r="R16" i="1"/>
  <c r="Q16" i="1"/>
  <c r="Q15" i="1" s="1"/>
  <c r="P16" i="1"/>
  <c r="P15" i="1" s="1"/>
  <c r="O16" i="1"/>
  <c r="O15" i="1" s="1"/>
  <c r="N16" i="1"/>
  <c r="M16" i="1"/>
  <c r="M15" i="1" s="1"/>
  <c r="L16" i="1"/>
  <c r="L15" i="1" s="1"/>
  <c r="K16" i="1"/>
  <c r="K15" i="1" s="1"/>
  <c r="J16" i="1"/>
  <c r="I16" i="1"/>
  <c r="I15" i="1" s="1"/>
  <c r="H16" i="1"/>
  <c r="H15" i="1" s="1"/>
  <c r="G16" i="1"/>
  <c r="G15" i="1" s="1"/>
  <c r="F16" i="1"/>
  <c r="E16" i="1"/>
  <c r="E15" i="1" s="1"/>
  <c r="D16" i="1"/>
  <c r="D15" i="1" s="1"/>
  <c r="C16" i="1"/>
  <c r="C15" i="1" s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D3" i="1"/>
  <c r="AC3" i="1"/>
  <c r="AC46" i="1" s="1"/>
  <c r="AB3" i="1"/>
  <c r="AA3" i="1"/>
  <c r="Z3" i="1"/>
  <c r="Z47" i="1" s="1"/>
  <c r="Y3" i="1"/>
  <c r="Y46" i="1" s="1"/>
  <c r="X3" i="1"/>
  <c r="X47" i="1" s="1"/>
  <c r="W3" i="1"/>
  <c r="V3" i="1"/>
  <c r="V2" i="1" s="1"/>
  <c r="V49" i="1" s="1"/>
  <c r="U3" i="1"/>
  <c r="U2" i="1" s="1"/>
  <c r="U49" i="1" s="1"/>
  <c r="T3" i="1"/>
  <c r="T47" i="1" s="1"/>
  <c r="S3" i="1"/>
  <c r="R3" i="1"/>
  <c r="R47" i="1" s="1"/>
  <c r="Q3" i="1"/>
  <c r="Q46" i="1" s="1"/>
  <c r="P3" i="1"/>
  <c r="O3" i="1"/>
  <c r="N3" i="1"/>
  <c r="M3" i="1"/>
  <c r="M46" i="1" s="1"/>
  <c r="L3" i="1"/>
  <c r="K3" i="1"/>
  <c r="J3" i="1"/>
  <c r="J47" i="1" s="1"/>
  <c r="I3" i="1"/>
  <c r="I2" i="1" s="1"/>
  <c r="I49" i="1" s="1"/>
  <c r="H3" i="1"/>
  <c r="G3" i="1"/>
  <c r="F3" i="1"/>
  <c r="F2" i="1" s="1"/>
  <c r="E3" i="1"/>
  <c r="E47" i="1" s="1"/>
  <c r="D3" i="1"/>
  <c r="C3" i="1"/>
  <c r="AD2" i="1"/>
  <c r="AD49" i="1" s="1"/>
  <c r="AC2" i="1"/>
  <c r="AC49" i="1" s="1"/>
  <c r="Z2" i="1"/>
  <c r="Z49" i="1" s="1"/>
  <c r="R2" i="1"/>
  <c r="R49" i="1" s="1"/>
  <c r="N2" i="1"/>
  <c r="N49" i="1" s="1"/>
  <c r="F15" i="1" l="1"/>
  <c r="J15" i="1"/>
  <c r="N15" i="1"/>
  <c r="R15" i="1"/>
  <c r="R26" i="1" s="1"/>
  <c r="V15" i="1"/>
  <c r="Z15" i="1"/>
  <c r="AD15" i="1"/>
  <c r="E2" i="1"/>
  <c r="E49" i="1" s="1"/>
  <c r="J2" i="1"/>
  <c r="J49" i="1" s="1"/>
  <c r="H2" i="1"/>
  <c r="H49" i="1" s="1"/>
  <c r="AB2" i="1"/>
  <c r="AB50" i="1" s="1"/>
  <c r="AA2" i="1"/>
  <c r="AA49" i="1" s="1"/>
  <c r="M2" i="1"/>
  <c r="M49" i="1" s="1"/>
  <c r="N53" i="1"/>
  <c r="AD53" i="1"/>
  <c r="X15" i="1"/>
  <c r="AB15" i="1"/>
  <c r="U50" i="1"/>
  <c r="AC50" i="1"/>
  <c r="F26" i="1"/>
  <c r="F59" i="1" s="1"/>
  <c r="F53" i="1"/>
  <c r="V53" i="1"/>
  <c r="Q2" i="1"/>
  <c r="Q49" i="1" s="1"/>
  <c r="Y2" i="1"/>
  <c r="Y49" i="1" s="1"/>
  <c r="C47" i="1"/>
  <c r="K47" i="1"/>
  <c r="S46" i="1"/>
  <c r="AA47" i="1"/>
  <c r="AA26" i="1"/>
  <c r="F111" i="1"/>
  <c r="I53" i="1"/>
  <c r="I47" i="1"/>
  <c r="U53" i="1"/>
  <c r="U47" i="1"/>
  <c r="C2" i="1"/>
  <c r="C50" i="1" s="1"/>
  <c r="G2" i="1"/>
  <c r="K2" i="1"/>
  <c r="K53" i="1" s="1"/>
  <c r="O2" i="1"/>
  <c r="S2" i="1"/>
  <c r="S50" i="1" s="1"/>
  <c r="W2" i="1"/>
  <c r="E26" i="1"/>
  <c r="I26" i="1"/>
  <c r="M26" i="1"/>
  <c r="U26" i="1"/>
  <c r="AC26" i="1"/>
  <c r="F52" i="1"/>
  <c r="F50" i="1"/>
  <c r="J52" i="1"/>
  <c r="J50" i="1"/>
  <c r="N52" i="1"/>
  <c r="N50" i="1"/>
  <c r="R52" i="1"/>
  <c r="R50" i="1"/>
  <c r="V52" i="1"/>
  <c r="V50" i="1"/>
  <c r="Z52" i="1"/>
  <c r="Z50" i="1"/>
  <c r="AD52" i="1"/>
  <c r="AD50" i="1"/>
  <c r="E46" i="1"/>
  <c r="I46" i="1"/>
  <c r="U46" i="1"/>
  <c r="D47" i="1"/>
  <c r="H47" i="1"/>
  <c r="N47" i="1"/>
  <c r="S47" i="1"/>
  <c r="AD47" i="1"/>
  <c r="F49" i="1"/>
  <c r="J53" i="1"/>
  <c r="R53" i="1"/>
  <c r="Z53" i="1"/>
  <c r="M53" i="1"/>
  <c r="M47" i="1"/>
  <c r="Y47" i="1"/>
  <c r="D2" i="1"/>
  <c r="L2" i="1"/>
  <c r="L52" i="1" s="1"/>
  <c r="P2" i="1"/>
  <c r="P50" i="1" s="1"/>
  <c r="T2" i="1"/>
  <c r="T52" i="1" s="1"/>
  <c r="X2" i="1"/>
  <c r="X52" i="1" s="1"/>
  <c r="J26" i="1"/>
  <c r="N26" i="1"/>
  <c r="V26" i="1"/>
  <c r="Z26" i="1"/>
  <c r="AD26" i="1"/>
  <c r="G50" i="1"/>
  <c r="O50" i="1"/>
  <c r="W50" i="1"/>
  <c r="AA50" i="1"/>
  <c r="F46" i="1"/>
  <c r="J46" i="1"/>
  <c r="N46" i="1"/>
  <c r="R46" i="1"/>
  <c r="V46" i="1"/>
  <c r="Z46" i="1"/>
  <c r="AD46" i="1"/>
  <c r="O47" i="1"/>
  <c r="C53" i="1"/>
  <c r="C46" i="1"/>
  <c r="G46" i="1"/>
  <c r="K46" i="1"/>
  <c r="O46" i="1"/>
  <c r="W46" i="1"/>
  <c r="AA46" i="1"/>
  <c r="F47" i="1"/>
  <c r="P47" i="1"/>
  <c r="V47" i="1"/>
  <c r="Q47" i="1"/>
  <c r="AC53" i="1"/>
  <c r="AC47" i="1"/>
  <c r="I52" i="1"/>
  <c r="U52" i="1"/>
  <c r="AC52" i="1"/>
  <c r="D46" i="1"/>
  <c r="H46" i="1"/>
  <c r="L46" i="1"/>
  <c r="P46" i="1"/>
  <c r="T46" i="1"/>
  <c r="X46" i="1"/>
  <c r="AB46" i="1"/>
  <c r="G47" i="1"/>
  <c r="L47" i="1"/>
  <c r="W47" i="1"/>
  <c r="AB47" i="1"/>
  <c r="I50" i="1"/>
  <c r="AA53" i="1" l="1"/>
  <c r="AA52" i="1"/>
  <c r="E50" i="1"/>
  <c r="E52" i="1"/>
  <c r="E57" i="1" s="1"/>
  <c r="E53" i="1"/>
  <c r="Y52" i="1"/>
  <c r="AB52" i="1"/>
  <c r="AB49" i="1"/>
  <c r="AB53" i="1"/>
  <c r="AC54" i="1" s="1"/>
  <c r="AC56" i="1" s="1"/>
  <c r="H52" i="1"/>
  <c r="Y26" i="1"/>
  <c r="F58" i="1"/>
  <c r="H50" i="1"/>
  <c r="H26" i="1"/>
  <c r="AB26" i="1"/>
  <c r="Y50" i="1"/>
  <c r="M52" i="1"/>
  <c r="H53" i="1"/>
  <c r="S53" i="1"/>
  <c r="Y53" i="1"/>
  <c r="AB55" i="1" s="1"/>
  <c r="AB57" i="1" s="1"/>
  <c r="M50" i="1"/>
  <c r="T53" i="1"/>
  <c r="Q53" i="1"/>
  <c r="P52" i="1"/>
  <c r="K50" i="1"/>
  <c r="Q26" i="1"/>
  <c r="Q58" i="1" s="1"/>
  <c r="Q50" i="1"/>
  <c r="Q52" i="1"/>
  <c r="V111" i="1"/>
  <c r="V59" i="1"/>
  <c r="V58" i="1"/>
  <c r="X49" i="1"/>
  <c r="X26" i="1"/>
  <c r="D49" i="1"/>
  <c r="D26" i="1"/>
  <c r="U55" i="1"/>
  <c r="U57" i="1" s="1"/>
  <c r="U54" i="1"/>
  <c r="U56" i="1" s="1"/>
  <c r="L50" i="1"/>
  <c r="F56" i="1"/>
  <c r="F57" i="1"/>
  <c r="Q59" i="1"/>
  <c r="W49" i="1"/>
  <c r="W26" i="1"/>
  <c r="G26" i="1"/>
  <c r="G49" i="1"/>
  <c r="D52" i="1"/>
  <c r="G52" i="1"/>
  <c r="H58" i="1"/>
  <c r="H111" i="1"/>
  <c r="H59" i="1"/>
  <c r="W55" i="1"/>
  <c r="W54" i="1"/>
  <c r="R111" i="1"/>
  <c r="R59" i="1"/>
  <c r="R58" i="1"/>
  <c r="T49" i="1"/>
  <c r="T26" i="1"/>
  <c r="X53" i="1"/>
  <c r="D50" i="1"/>
  <c r="AC111" i="1"/>
  <c r="AC58" i="1"/>
  <c r="AC59" i="1"/>
  <c r="M111" i="1"/>
  <c r="M58" i="1"/>
  <c r="M59" i="1"/>
  <c r="S49" i="1"/>
  <c r="S52" i="1"/>
  <c r="S26" i="1"/>
  <c r="C52" i="1"/>
  <c r="C49" i="1"/>
  <c r="C26" i="1"/>
  <c r="L54" i="1"/>
  <c r="L56" i="1" s="1"/>
  <c r="L55" i="1"/>
  <c r="L57" i="1" s="1"/>
  <c r="W53" i="1"/>
  <c r="X54" i="1" s="1"/>
  <c r="X56" i="1" s="1"/>
  <c r="K55" i="1"/>
  <c r="K54" i="1"/>
  <c r="AD111" i="1"/>
  <c r="AD59" i="1"/>
  <c r="AD58" i="1"/>
  <c r="N111" i="1"/>
  <c r="N59" i="1"/>
  <c r="N58" i="1"/>
  <c r="P49" i="1"/>
  <c r="P26" i="1"/>
  <c r="L53" i="1"/>
  <c r="M55" i="1" s="1"/>
  <c r="Y111" i="1"/>
  <c r="Y59" i="1"/>
  <c r="Y58" i="1"/>
  <c r="I111" i="1"/>
  <c r="I59" i="1"/>
  <c r="I58" i="1"/>
  <c r="O49" i="1"/>
  <c r="O26" i="1"/>
  <c r="P53" i="1"/>
  <c r="O53" i="1"/>
  <c r="P54" i="1" s="1"/>
  <c r="P56" i="1" s="1"/>
  <c r="W52" i="1"/>
  <c r="AB58" i="1"/>
  <c r="AB111" i="1"/>
  <c r="AB59" i="1"/>
  <c r="T54" i="1"/>
  <c r="T56" i="1" s="1"/>
  <c r="T55" i="1"/>
  <c r="T57" i="1" s="1"/>
  <c r="V55" i="1"/>
  <c r="V57" i="1" s="1"/>
  <c r="V54" i="1"/>
  <c r="V56" i="1" s="1"/>
  <c r="Z111" i="1"/>
  <c r="Z59" i="1"/>
  <c r="Z58" i="1"/>
  <c r="J111" i="1"/>
  <c r="J59" i="1"/>
  <c r="J58" i="1"/>
  <c r="L49" i="1"/>
  <c r="L26" i="1"/>
  <c r="T50" i="1"/>
  <c r="U111" i="1"/>
  <c r="U58" i="1"/>
  <c r="U59" i="1"/>
  <c r="E111" i="1"/>
  <c r="E58" i="1"/>
  <c r="E59" i="1"/>
  <c r="K52" i="1"/>
  <c r="K26" i="1"/>
  <c r="K49" i="1"/>
  <c r="D53" i="1"/>
  <c r="G54" i="1" s="1"/>
  <c r="G53" i="1"/>
  <c r="I54" i="1" s="1"/>
  <c r="I56" i="1" s="1"/>
  <c r="X50" i="1"/>
  <c r="O52" i="1"/>
  <c r="AA111" i="1"/>
  <c r="AA59" i="1"/>
  <c r="AA58" i="1"/>
  <c r="E56" i="1" l="1"/>
  <c r="AB54" i="1"/>
  <c r="AB56" i="1" s="1"/>
  <c r="AD54" i="1"/>
  <c r="AD56" i="1" s="1"/>
  <c r="AC55" i="1"/>
  <c r="AC57" i="1" s="1"/>
  <c r="M57" i="1"/>
  <c r="AD55" i="1"/>
  <c r="AD57" i="1" s="1"/>
  <c r="Q111" i="1"/>
  <c r="X55" i="1"/>
  <c r="X57" i="1" s="1"/>
  <c r="K111" i="1"/>
  <c r="K59" i="1"/>
  <c r="K58" i="1"/>
  <c r="W56" i="1"/>
  <c r="W57" i="1"/>
  <c r="S55" i="1"/>
  <c r="S57" i="1" s="1"/>
  <c r="S54" i="1"/>
  <c r="C111" i="1"/>
  <c r="C59" i="1"/>
  <c r="C58" i="1"/>
  <c r="S56" i="1"/>
  <c r="T58" i="1"/>
  <c r="T111" i="1"/>
  <c r="T59" i="1"/>
  <c r="G56" i="1"/>
  <c r="W111" i="1"/>
  <c r="W59" i="1"/>
  <c r="W58" i="1"/>
  <c r="P55" i="1"/>
  <c r="P57" i="1" s="1"/>
  <c r="X58" i="1"/>
  <c r="X111" i="1"/>
  <c r="X59" i="1"/>
  <c r="N55" i="1"/>
  <c r="N57" i="1" s="1"/>
  <c r="O111" i="1"/>
  <c r="O59" i="1"/>
  <c r="O58" i="1"/>
  <c r="Z55" i="1"/>
  <c r="Z57" i="1" s="1"/>
  <c r="Z54" i="1"/>
  <c r="Z56" i="1" s="1"/>
  <c r="Y55" i="1"/>
  <c r="Y57" i="1" s="1"/>
  <c r="Y54" i="1"/>
  <c r="Y56" i="1" s="1"/>
  <c r="M54" i="1"/>
  <c r="M56" i="1" s="1"/>
  <c r="D57" i="1"/>
  <c r="D56" i="1"/>
  <c r="H54" i="1"/>
  <c r="H56" i="1" s="1"/>
  <c r="H55" i="1"/>
  <c r="H57" i="1" s="1"/>
  <c r="K57" i="1"/>
  <c r="K56" i="1"/>
  <c r="P58" i="1"/>
  <c r="P59" i="1"/>
  <c r="P111" i="1"/>
  <c r="C57" i="1"/>
  <c r="C56" i="1"/>
  <c r="G55" i="1"/>
  <c r="G57" i="1" s="1"/>
  <c r="D58" i="1"/>
  <c r="D111" i="1"/>
  <c r="D59" i="1"/>
  <c r="J55" i="1"/>
  <c r="J57" i="1" s="1"/>
  <c r="J54" i="1"/>
  <c r="J56" i="1" s="1"/>
  <c r="I55" i="1"/>
  <c r="I57" i="1" s="1"/>
  <c r="L58" i="1"/>
  <c r="L111" i="1"/>
  <c r="L59" i="1"/>
  <c r="R55" i="1"/>
  <c r="R57" i="1" s="1"/>
  <c r="R54" i="1"/>
  <c r="R56" i="1" s="1"/>
  <c r="Q55" i="1"/>
  <c r="Q57" i="1" s="1"/>
  <c r="Q54" i="1"/>
  <c r="Q56" i="1" s="1"/>
  <c r="O55" i="1"/>
  <c r="O57" i="1" s="1"/>
  <c r="O54" i="1"/>
  <c r="O56" i="1" s="1"/>
  <c r="S111" i="1"/>
  <c r="S59" i="1"/>
  <c r="S58" i="1"/>
  <c r="AA55" i="1"/>
  <c r="AA57" i="1" s="1"/>
  <c r="AA54" i="1"/>
  <c r="AA56" i="1" s="1"/>
  <c r="G111" i="1"/>
  <c r="G59" i="1"/>
  <c r="G58" i="1"/>
  <c r="N54" i="1"/>
  <c r="N56" i="1" s="1"/>
</calcChain>
</file>

<file path=xl/sharedStrings.xml><?xml version="1.0" encoding="utf-8"?>
<sst xmlns="http://schemas.openxmlformats.org/spreadsheetml/2006/main" count="470" uniqueCount="240">
  <si>
    <t>Lp.</t>
  </si>
  <si>
    <t>Wyszczególnienie</t>
  </si>
  <si>
    <t>2016</t>
  </si>
  <si>
    <t>2017</t>
  </si>
  <si>
    <t>2018 3kw.</t>
  </si>
  <si>
    <t>2018 pw.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</si>
  <si>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</si>
  <si>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</si>
  <si>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</si>
  <si>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</si>
  <si>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</si>
  <si>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</si>
  <si>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</si>
  <si>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</si>
  <si>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</si>
  <si>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</si>
  <si>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</si>
  <si>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</si>
  <si>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</si>
  <si>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</si>
  <si>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</si>
  <si>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</si>
  <si>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</si>
  <si>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</si>
  <si>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</si>
  <si>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</si>
  <si>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</si>
  <si>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</si>
  <si>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</si>
  <si>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</si>
  <si>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1</t>
  </si>
  <si>
    <t>Dochody ogółem</t>
  </si>
  <si>
    <t>1.1</t>
  </si>
  <si>
    <t>Dochody bieżące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</si>
  <si>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</si>
  <si>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</si>
  <si>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</si>
  <si>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</si>
  <si>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</si>
  <si>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podatki i opłaty</t>
  </si>
  <si>
    <t>1.1.3.1</t>
  </si>
  <si>
    <t>z podatku od nieruchomości</t>
  </si>
  <si>
    <t>1.1.4</t>
  </si>
  <si>
    <t>z subwencji ogólnej</t>
  </si>
  <si>
    <t>1.1.5</t>
  </si>
  <si>
    <t>z tytułu dotacji i środków przeznaczonych na cele bieżące</t>
  </si>
  <si>
    <t>1.1.x</t>
  </si>
  <si>
    <t>Inne</t>
  </si>
  <si>
    <t>1.2</t>
  </si>
  <si>
    <t>Dochody majątkowe, w tym</t>
  </si>
  <si>
    <t>1.2.1</t>
  </si>
  <si>
    <t>ze sprzedaży majątku</t>
  </si>
  <si>
    <t>1.2.2</t>
  </si>
  <si>
    <t>z tytułu dotacji oraz środków przeznaczonych na inwestycje</t>
  </si>
  <si>
    <t>1.2.x</t>
  </si>
  <si>
    <t>2</t>
  </si>
  <si>
    <t>Wydatki ogółem</t>
  </si>
  <si>
    <t>2.1</t>
  </si>
  <si>
    <t>Wydatki bieżące, w tym:</t>
  </si>
  <si>
    <t>2.1.1</t>
  </si>
  <si>
    <t>z tytułu poręczeń i gwarancji</t>
  </si>
  <si>
    <t>2.1.1.1</t>
  </si>
  <si>
    <t>w tym: gwarancje i poręczenia podlegające wyłączeniu z limitu spłaty zobowiązań, o którym mowa w art. 243 ustawy</t>
  </si>
  <si>
    <t>2.1.2</t>
  </si>
  <si>
    <t>na spłatę przejętych zobowiązań samodzielnego publicznego zakładu opieki zdrowotnej przekształconego na zasadach określonych w przepisach  o działalności leczniczej, w wysokości, w jakiej nie podlegają sfinansowaniu dotacją z budżetu państwa</t>
  </si>
  <si>
    <t/>
  </si>
  <si>
    <t>2.1.3</t>
  </si>
  <si>
    <t>wydatki na obsługę długu, w tym:</t>
  </si>
  <si>
    <t>2.1.3.1</t>
  </si>
  <si>
    <t>odsetki i dyskonto określone w art. 243 ust. 1 ustawy, w tym:</t>
  </si>
  <si>
    <t>2.1.3.1.1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</si>
  <si>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</si>
  <si>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2.1.3.1.2</t>
  </si>
  <si>
    <t>odsetki i dyskonto podlegające wyłączeniu z limitu spłaty zobowiązań, o którym mowa w art. 243 ustawy, z tytułu zobowiązań na wkład krajowy</t>
  </si>
  <si>
    <t>2.1.x</t>
  </si>
  <si>
    <t>2.2</t>
  </si>
  <si>
    <t>Wydatki majątkowe</t>
  </si>
  <si>
    <t>3</t>
  </si>
  <si>
    <t>Wynik budżetu</t>
  </si>
  <si>
    <t>4</t>
  </si>
  <si>
    <t>Przychody budżetu</t>
  </si>
  <si>
    <t>4.1</t>
  </si>
  <si>
    <t>Nadwyżka budżetowa z lat ubiegłych</t>
  </si>
  <si>
    <t>4.1.1</t>
  </si>
  <si>
    <t>w tym na pokrycie deficytu budżetu</t>
  </si>
  <si>
    <t>4.2</t>
  </si>
  <si>
    <t>Wolne środki, o których mowa w art. 217 ust.2 pkt 6 ustawy</t>
  </si>
  <si>
    <t>4.2.1</t>
  </si>
  <si>
    <t>4.3</t>
  </si>
  <si>
    <t>Kredyty, pożyczki, emisja papierów wartościowych</t>
  </si>
  <si>
    <t>4.3.1</t>
  </si>
  <si>
    <t>4.4</t>
  </si>
  <si>
    <t>Inne przychody niezwiązane z zaciągnięciem długu</t>
  </si>
  <si>
    <t>4.4.1</t>
  </si>
  <si>
    <t>5</t>
  </si>
  <si>
    <t>Rozchody budżetu</t>
  </si>
  <si>
    <t>5.1</t>
  </si>
  <si>
    <t>Spłaty rat kapitałowych kredytów i pożyczek oraz wykup papierów wartościowych</t>
  </si>
  <si>
    <t>5.1.1</t>
  </si>
  <si>
    <t>w tym łączna kwota przypadających na dany rok kwot ustawowych wyłączeń z limitu spłaty zobowiązań, o którym mowa w art. 243 ustawy, z tego:</t>
  </si>
  <si>
    <t>5.1.1.1</t>
  </si>
  <si>
    <t>w tym kwota przypadających na dany rok kwot wyłączeń określonych w art. 243 ust. 3 ustawy</t>
  </si>
  <si>
    <t>5.1.1.2</t>
  </si>
  <si>
    <t>kwota przypadających na dany rok kwot wyłączeń określonych w art. 243 ust. 3a ustawy</t>
  </si>
  <si>
    <t>5.1.1.3</t>
  </si>
  <si>
    <t>kwota przypadających na dany rok kwot wyłączeń innych niż określone w art. 243</t>
  </si>
  <si>
    <t>5.2</t>
  </si>
  <si>
    <t>Inne rozchody niezwiązane ze spłatą długu</t>
  </si>
  <si>
    <t>6</t>
  </si>
  <si>
    <t>Kwota długu</t>
  </si>
  <si>
    <t>7</t>
  </si>
  <si>
    <t>Kwota zobowiązań wynikających z przejęcia przez jednostkę samorządu terytorialnego zobowiązań po likwidowanych i przekształcanych jednostkach zaliczanych do sektora  finansów publicznych</t>
  </si>
  <si>
    <t>8</t>
  </si>
  <si>
    <t>Relacja zrównoważenia wydatków bieżących, o której mowa w art. 242 ustawy</t>
  </si>
  <si>
    <t>8.1</t>
  </si>
  <si>
    <t>Różnica między dochodami bieżącymi a  wydatkami bieżącymi</t>
  </si>
  <si>
    <t>8.2</t>
  </si>
  <si>
    <t>Różnica między dochodami bieżącymi, skorygowanymi o środki,  a wydatkami bieżącymi, pomniejszonymi o wydatki</t>
  </si>
  <si>
    <t>9</t>
  </si>
  <si>
    <t>Wskaźnik spłaty zobowiązań</t>
  </si>
  <si>
    <t>9.1</t>
  </si>
  <si>
    <t>Wskaźnik planowanej łącznej kwoty spłaty zobowiązań, o której mowa w art. 243 ust. 1 ustawy, do dochodów, bez uwzględnienia zobowiązań związku współtworzonego przez jednostkę samorządu terytorialnego i bez uwzględniania ustawowych wyłączeń przypadających na dany rok</t>
  </si>
  <si>
    <t>9.2</t>
  </si>
  <si>
    <t>Wskaźnik planowanej łącznej kwoty spłaty zobowiązań, o której mowa w art. 243 ust. 1 ustawy, do dochodów, bez uwzględnienia zobowiązań związku współtworzonego przez jednostkę samorządu terytorialnego, po uwzględnieniu ustawowych wyłączeń przypadających na dany rok</t>
  </si>
  <si>
    <t>9.3</t>
  </si>
  <si>
    <t>Kwota zobowiązań związku współtworzonego przez jednostkę samorządu terytorialnego przypadających do spłaty w danym roku budżetowym, podlegająca doliczeniu zgodnie z art. 244 ustawy</t>
  </si>
  <si>
    <t>9.4</t>
  </si>
  <si>
    <t>Wskaźnik planowanej łącznej kwoty spłaty zobowiązań, o której mowa w art. 243 ust. 1 ustawy, do dochodów, po uwzględnieniu zobowiązań związku współtworzonego przez jednostkę samorządu terytorialnego oraz po uwzględnieniu ustawowych wyłączeń przypadających na dany rok</t>
  </si>
  <si>
    <t>9.5</t>
  </si>
  <si>
    <t>Wskaźnik dochodów bieżących powiększonych o dochody ze sprzedaży majątku oraz pomniejszonych o wydatki bieżące, do dochodów budżetu, ustalony dla danego roku (wskaźnik jednoroczny)</t>
  </si>
  <si>
    <t>9.6</t>
  </si>
  <si>
    <t>Dopuszczalny wskaźnik spłaty zobowiązań określony w art. 243 ustawy, po uwzględnieniu ustawowych wyłączeń, obliczony w oparciu o plan 3 kwartu roku poprzedzającego pierwszy rok prognozy (wskaźnik ustalony w oparciu o średnią arytmetyczną z 3 poprzednich lat)</t>
  </si>
  <si>
    <t>9.6.1</t>
  </si>
  <si>
    <t>Dopuszczalny wskaźnik spłaty zobowiązań określony w art. 243 ustawy, po uwzględnieniu ustawowych wyłączeń, obliczony w oparciu o wykonanie roku poprzedzającego pierwszy rok prognozy (wskaźnik ustalony w oparciu o średnią arytmetyczną z 3 poprzednich lat)</t>
  </si>
  <si>
    <t>9.7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</si>
  <si>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</si>
  <si>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9.7.1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</si>
  <si>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</si>
  <si>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10</t>
  </si>
  <si>
    <t>Przeznaczenie prognozowanej nadwyżki budżetowej,  w tym na:</t>
  </si>
  <si>
    <t>10.1</t>
  </si>
  <si>
    <t>Spłaty kredytów, pożyczek i wykup papierów wartościowych</t>
  </si>
  <si>
    <t>11</t>
  </si>
  <si>
    <t>Informacje uzupełniające o wybranych rodzajach wydatków budżetowych</t>
  </si>
  <si>
    <t>11.1</t>
  </si>
  <si>
    <t>Wydatki bieżące na wynagrodzenia i składki od nich naliczane</t>
  </si>
  <si>
    <t>11.2</t>
  </si>
  <si>
    <t>Wydatki związane z funkcjonowaniem organów jednostki samorządu terytorialnego</t>
  </si>
  <si>
    <t>11.3</t>
  </si>
  <si>
    <t>Wydatki objęte limitem, o którym mowa w art. 226 ust. 3 pkt 4 ustawy</t>
  </si>
  <si>
    <t>11.3.1</t>
  </si>
  <si>
    <t>bieżące</t>
  </si>
  <si>
    <t>11.3.2</t>
  </si>
  <si>
    <t>majątkowe</t>
  </si>
  <si>
    <t>11.4</t>
  </si>
  <si>
    <t>Wydatki inwestycyjne kontynuowane</t>
  </si>
  <si>
    <t>11.5</t>
  </si>
  <si>
    <t>Nowe wydatki inwestycyjne</t>
  </si>
  <si>
    <t>11.6</t>
  </si>
  <si>
    <t>Wydatki majątkowe w formie dotacji</t>
  </si>
  <si>
    <t>11.x</t>
  </si>
  <si>
    <t>12</t>
  </si>
  <si>
    <t>Finansowanie programów, projektów lub zadań realizowanych z udziałem środków, o których mowa w art. 5 ust. 1 pkt 2 i 3 ustawy</t>
  </si>
  <si>
    <t>12.1</t>
  </si>
  <si>
    <t>Dochody bieżące na programy, projekty lub zadania finansowane z udziałem środków, o których mowa w art. 5 ust. 1 pkt 2 i 3 ustawy</t>
  </si>
  <si>
    <t>12.1.1</t>
  </si>
  <si>
    <t>-  w tym środki określone w art. 5 ust. 1 pkt 2 ustawy</t>
  </si>
  <si>
    <t>12.1.1.1</t>
  </si>
  <si>
    <t>- w tym środki określone w art. 5 ust. 1 pkt 2 ustawy wynikające wyłącznie z  zawartych umów na realizację programu, projektu lub zadania</t>
  </si>
  <si>
    <t>12.2</t>
  </si>
  <si>
    <t>Dochody majątkowe  na programy, projekty lub zadania finansowane z udziałem środków, o których mowa w art. 5 ust. 1 pkt 2 i 3 ustawy</t>
  </si>
  <si>
    <t>12.2.1</t>
  </si>
  <si>
    <t>12.2.1.1</t>
  </si>
  <si>
    <t>- w tym środki określone w art. 5 ust. 1 pkt 2 ustawy wynikające wyłącznie z zawartych umów na realizację programu, projektu lub zadania</t>
  </si>
  <si>
    <t>12.3</t>
  </si>
  <si>
    <t>Wydatki bieżące na programy, projekty lub zadania finansowane z udziałem środków, o których mowa w art. 5 ust. 1 pkt 2 i 3 ustawy</t>
  </si>
  <si>
    <t>12.3.1</t>
  </si>
  <si>
    <t>-  w tym finansowane środkami określonymi w art. 5 ust. 1 pkt 2 ustawy</t>
  </si>
  <si>
    <t>12.3.2</t>
  </si>
  <si>
    <t>Wydatki bieżące na realizację programu, projektu lub zadania wynikające wyłącznie z zawartych umów z podmiotem dysponującym środkami, o których mowa w art. 5 ust. 1 pkt 2 ustawy</t>
  </si>
  <si>
    <t>12.4</t>
  </si>
  <si>
    <t>Wydatki majątkowe na programy, projekty lub zadania finansowane z udziałem środków, o których mowa w art. 5 ust. 1 pkt 2 i 3 ustawy</t>
  </si>
  <si>
    <t>12.4.1</t>
  </si>
  <si>
    <t>12.4.2</t>
  </si>
  <si>
    <t>Wydatki majątkowe na realizację programu, projektu lub zadania wynikające wyłącznie z zawartych umów z podmiotem dysponującym środkami, o których mowa w art. 5 ust. 1 pkt 2 ustawy</t>
  </si>
  <si>
    <t>12.5</t>
  </si>
  <si>
    <t>Wydatki na wkład krajowy w związku z umową na realizację programu, projektu lub zadania finansowanego z udziałem środków, o których mowa w art. 5 ust. 1 pkt 2 ustawy bez względu na stopień finansowania tymi środkami</t>
  </si>
  <si>
    <t>12.5.1</t>
  </si>
  <si>
    <t xml:space="preserve"> - w tym w związku z już zawartą umową na realizację programu, projektu lub zadania</t>
  </si>
  <si>
    <t>12.6</t>
  </si>
  <si>
    <t>Wydatki na wkład krajowy w związku z zawartą po dniu 1 stycznia 2013 r. umową na realizację programu, projektu lub zadania finansowanego w co najmniej 60% środkami, o których mowa w art. 5 ust. 1 pkt 2 ustawy</t>
  </si>
  <si>
    <t>12.6.1</t>
  </si>
  <si>
    <t>12.7</t>
  </si>
  <si>
    <t>Przychody z tytułu kredytów, pożyczek, emisji papierów wartościowych powstające w związku z umową na realizację programu, projektu lub zadania finansowanego z udziałem środków, o których mowa w art. 5 ust. 1 pkt 2 ustawy, bez względu na stopień finansowania tymi środkami</t>
  </si>
  <si>
    <t>12.7.1</t>
  </si>
  <si>
    <t>12.8</t>
  </si>
  <si>
    <t>Przychody z tytułu kredytów, pożyczek, emisji papierów wartościowych powstające w związku z zawartą po dniu 1 stycznia 2013 r. umowa na realizację programu, projektu lub zadania finansowanego w co najmniej 60% środkami, o których mowa w art. 5 ust. 1 pkt 2 ustawy</t>
  </si>
  <si>
    <t>12.8.1</t>
  </si>
  <si>
    <t>13</t>
  </si>
  <si>
    <t>Kwoty dotyczące przejęcia i spłaty zobowiązań po samodzielnych publicznych zakładach opieki zdrowotnej oraz pokrycia ujemnego wyniku</t>
  </si>
  <si>
    <t>13.1</t>
  </si>
  <si>
    <t>Kwota zobowiązań wynikających z przejęcia przez jednostkę samorządu terytorialnego zobowiązań po likwidowanych i przekształcanych samodzielnych zakładach opieki zdrowotnej</t>
  </si>
  <si>
    <t>13.2</t>
  </si>
  <si>
    <t>Dochody budżetowe z tytułu dotacji celowej z budżetu państwa, o której mowa w art. 196 ustawy z  dnia 15 kwietnia 2011 r.  o działalności leczniczej (Dz.U.  z 2013 r. poz. 217, z późn. zm.)</t>
  </si>
  <si>
    <t>13.3</t>
  </si>
  <si>
    <t>Wysokość zobowiązań podlegających umorzeniu, o którym mowa w art. 190 ustawy o działalności leczniczej</t>
  </si>
  <si>
    <t>13.4</t>
  </si>
  <si>
    <t>Wydatki na spłatę przejętych zobowiązań samodzielnego publicznego zakładu opieki zdrowotnej przekształconego na zasadach określonych w przepisach  o działalności leczniczej</t>
  </si>
  <si>
    <t>13.5</t>
  </si>
  <si>
    <t>Wydatki na spłatę przejętych zobowiązań samodzielnego publicznego zakładu opieki zdrowotnej likwidowanego na zasadach określonych w przepisach  o działalności leczniczej</t>
  </si>
  <si>
    <t>13.6</t>
  </si>
  <si>
    <t>Wydatki na spłatę zobowiązań samodzielnego publicznego zakładu opieki zdrowotnej przejętych do końca 2011 r. na podstawie przepisów o zakładach opieki zdrowotnej</t>
  </si>
  <si>
    <t>13.7</t>
  </si>
  <si>
    <t>Wydatki bieżące na pokrycie ujemnego wyniku finansowego samodzielnego publicznego zakładu opieki zdrowotnej</t>
  </si>
  <si>
    <t>14</t>
  </si>
  <si>
    <t>Dane uzupełniające o długu i jego spłacie</t>
  </si>
  <si>
    <t>14.1</t>
  </si>
  <si>
    <t>Spłaty rat kapitałowych oraz wykup papierów wartościowych, o których mowa w pkt. 5.1., wynikające wyłącznie z tytułu zobowiązań już zaciągniętych</t>
  </si>
  <si>
    <t>14.2</t>
  </si>
  <si>
    <t>Kwota długu, którego planowana spłata dokona się z wydatków budżetu</t>
  </si>
  <si>
    <t>14.3</t>
  </si>
  <si>
    <t>Wydatki zmniejszające dług, w tym</t>
  </si>
  <si>
    <t>14.3.1</t>
  </si>
  <si>
    <t>spłata zobowiązań wymagalnych z lat poprzednich, innych niż w pkt 14.3.3</t>
  </si>
  <si>
    <t>14.3.2</t>
  </si>
  <si>
    <t>związane z umowami zaliczanymi do tytułów dłużnych wliczanych w państwowy dług publiczny</t>
  </si>
  <si>
    <t>14.3.3</t>
  </si>
  <si>
    <t>wypłaty z tytułu wymagalnych poręczeń i gwarancji</t>
  </si>
  <si>
    <t>14.4</t>
  </si>
  <si>
    <t>Wynik operacji niekasowych wpływających na kwotę długu ( m.in. umorzenia, różnice kursowe)</t>
  </si>
  <si>
    <t>15</t>
  </si>
  <si>
    <t>Dane dotyczące emitowanych obligacji przychodowych</t>
  </si>
  <si>
    <t>15.1</t>
  </si>
  <si>
    <t>Środki z przedsięwzięcia gromadzone na rachunku bankowym, w tym:</t>
  </si>
  <si>
    <t>15.1.1</t>
  </si>
  <si>
    <t>środki na zaspokojenie roszczeń obligatariuszy</t>
  </si>
  <si>
    <t>15.2</t>
  </si>
  <si>
    <t>Wydatki bieżące z tytułu świadczenia emitenta należnego obligatariuszom, nieuwzględniane w limicie spłaty zobowiązań, o którym mowa w art. 243 ustawy</t>
  </si>
  <si>
    <t>17</t>
  </si>
  <si>
    <t>Rozliczenie budżetu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</si>
</sst>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b/>
      <sz val="8"/>
      <color rgb="FFFF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  <fill>
      <patternFill patternType="solid">
        <fgColor rgb="FFADFF2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4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10" fontId="1" fillId="3" borderId="1" xfId="0" applyNumberFormat="1" applyFont="1" applyFill="1" applyBorder="1" applyAlignment="1">
      <alignment vertical="center"/>
    </xf>
    <xf numFmtId="10" fontId="1" fillId="3" borderId="1" xfId="0" applyNumberFormat="1" applyFont="1" applyFill="1" applyBorder="1" applyAlignment="1">
      <alignment vertical="center" wrapText="1"/>
    </xf>
    <xf numFmtId="10" fontId="1" fillId="3" borderId="1" xfId="0" applyNumberFormat="1" applyFont="1" applyFill="1" applyBorder="1" applyAlignment="1">
      <alignment horizontal="right" vertical="center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8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1"/>
  <sheetViews>
    <sheetView tabSelected="1" view="pageBreakPreview" zoomScaleNormal="100" zoomScaleSheetLayoutView="100" workbookViewId="0">
      <pane xSplit="2" ySplit="1" topLeftCell="T2" activePane="bottomRight" state="frozen"/>
      <selection pane="topRight" activeCell="C1" sqref="C1"/>
      <selection pane="bottomLeft" activeCell="A2" sqref="A2"/>
      <selection pane="bottomRight" activeCell="AE1" sqref="AE1:AE1048576"/>
    </sheetView>
  </sheetViews>
  <sheetFormatPr defaultRowHeight="15" x14ac:dyDescent="0.25"/>
  <cols>
    <col min="1" max="1" width="7.140625" customWidth="1"/>
    <col min="2" max="2" width="42.85546875" customWidth="1"/>
    <col min="3" max="6" width="14.28515625" hidden="1" customWidth="1"/>
    <col min="7" max="30" width="14.28515625" customWidth="1"/>
  </cols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ht="14.25" customHeight="1" x14ac:dyDescent="0.25">
      <c r="A2" s="2" t="s">
        <v>30</v>
      </c>
      <c r="B2" s="3" t="s">
        <v>31</v>
      </c>
      <c r="C2" s="4">
        <f>IF(ISNUMBER(VLOOKUP("1.1",A2:AD112,3,FALSE)),ROUND(VLOOKUP("1.1",A2:AD112,3,FALSE),4),0) + IF(ISNUMBER(VLOOKUP("1.2",A2:AD112,3,FALSE)),ROUND(VLOOKUP("1.2",A2:AD112,3,FALSE),4),0)</f>
        <v>39096599.769999996</v>
      </c>
      <c r="D2" s="4">
        <f>IF(ISNUMBER(VLOOKUP("1.1",A2:AD112,4,FALSE)),ROUND(VLOOKUP("1.1",A2:AD112,4,FALSE),4),0) + IF(ISNUMBER(VLOOKUP("1.2",A2:AD112,4,FALSE)),ROUND(VLOOKUP("1.2",A2:AD112,4,FALSE),4),0)</f>
        <v>43567442.310000002</v>
      </c>
      <c r="E2" s="4">
        <f>IF(ISNUMBER(VLOOKUP("1.1",A2:AD112,5,FALSE)),ROUND(VLOOKUP("1.1",A2:AD112,5,FALSE),4),0) + IF(ISNUMBER(VLOOKUP("1.2",A2:AD112,5,FALSE)),ROUND(VLOOKUP("1.2",A2:AD112,5,FALSE),4),0)</f>
        <v>69330169.530000001</v>
      </c>
      <c r="F2" s="4">
        <f>IF(ISNUMBER(VLOOKUP("1.1",A2:AD112,6,FALSE)),ROUND(VLOOKUP("1.1",A2:AD112,6,FALSE),4),0) + IF(ISNUMBER(VLOOKUP("1.2",A2:AD112,6,FALSE)),ROUND(VLOOKUP("1.2",A2:AD112,6,FALSE),4),0)</f>
        <v>55966172.039999999</v>
      </c>
      <c r="G2" s="4">
        <f>IF(ISNUMBER(VLOOKUP("1.1",A2:AD112,7,FALSE)),ROUND(VLOOKUP("1.1",A2:AD112,7,FALSE),4),0) + IF(ISNUMBER(VLOOKUP("1.2",A2:AD112,7,FALSE)),ROUND(VLOOKUP("1.2",A2:AD112,7,FALSE),4),0)</f>
        <v>75713784.030000001</v>
      </c>
      <c r="H2" s="4">
        <f>IF(ISNUMBER(VLOOKUP("1.1",A2:AD112,8,FALSE)),ROUND(VLOOKUP("1.1",A2:AD112,8,FALSE),4),0) + IF(ISNUMBER(VLOOKUP("1.2",A2:AD112,8,FALSE)),ROUND(VLOOKUP("1.2",A2:AD112,8,FALSE),4),0)</f>
        <v>83884735.640000001</v>
      </c>
      <c r="I2" s="4">
        <f>IF(ISNUMBER(VLOOKUP("1.1",A2:AD112,9,FALSE)),ROUND(VLOOKUP("1.1",A2:AD112,9,FALSE),4),0) + IF(ISNUMBER(VLOOKUP("1.2",A2:AD112,9,FALSE)),ROUND(VLOOKUP("1.2",A2:AD112,9,FALSE),4),0)</f>
        <v>70646487.950000003</v>
      </c>
      <c r="J2" s="4">
        <f>IF(ISNUMBER(VLOOKUP("1.1",A2:AD112,10,FALSE)),ROUND(VLOOKUP("1.1",A2:AD112,10,FALSE),4),0) + IF(ISNUMBER(VLOOKUP("1.2",A2:AD112,10,FALSE)),ROUND(VLOOKUP("1.2",A2:AD112,10,FALSE),4),0)</f>
        <v>69608103.780000001</v>
      </c>
      <c r="K2" s="4">
        <f>IF(ISNUMBER(VLOOKUP("1.1",A2:AD112,11,FALSE)),ROUND(VLOOKUP("1.1",A2:AD112,11,FALSE),4),0) + IF(ISNUMBER(VLOOKUP("1.2",A2:AD112,11,FALSE)),ROUND(VLOOKUP("1.2",A2:AD112,11,FALSE),4),0)</f>
        <v>48179597</v>
      </c>
      <c r="L2" s="4">
        <f>IF(ISNUMBER(VLOOKUP("1.1",A2:AD112,12,FALSE)),ROUND(VLOOKUP("1.1",A2:AD112,12,FALSE),4),0) + IF(ISNUMBER(VLOOKUP("1.2",A2:AD112,12,FALSE)),ROUND(VLOOKUP("1.2",A2:AD112,12,FALSE),4),0)</f>
        <v>47531039</v>
      </c>
      <c r="M2" s="4">
        <f>IF(ISNUMBER(VLOOKUP("1.1",A2:AD112,13,FALSE)),ROUND(VLOOKUP("1.1",A2:AD112,13,FALSE),4),0) + IF(ISNUMBER(VLOOKUP("1.2",A2:AD112,13,FALSE)),ROUND(VLOOKUP("1.2",A2:AD112,13,FALSE),4),0)</f>
        <v>48623065</v>
      </c>
      <c r="N2" s="4">
        <f>IF(ISNUMBER(VLOOKUP("1.1",A2:AD112,14,FALSE)),ROUND(VLOOKUP("1.1",A2:AD112,14,FALSE),4),0) + IF(ISNUMBER(VLOOKUP("1.2",A2:AD112,14,FALSE)),ROUND(VLOOKUP("1.2",A2:AD112,14,FALSE),4),0)</f>
        <v>49742391</v>
      </c>
      <c r="O2" s="4">
        <f>IF(ISNUMBER(VLOOKUP("1.1",A2:AD112,15,FALSE)),ROUND(VLOOKUP("1.1",A2:AD112,15,FALSE),4),0) + IF(ISNUMBER(VLOOKUP("1.2",A2:AD112,15,FALSE)),ROUND(VLOOKUP("1.2",A2:AD112,15,FALSE),4),0)</f>
        <v>50889701</v>
      </c>
      <c r="P2" s="4">
        <f>IF(ISNUMBER(VLOOKUP("1.1",A2:AD112,16,FALSE)),ROUND(VLOOKUP("1.1",A2:AD112,16,FALSE),4),0) + IF(ISNUMBER(VLOOKUP("1.2",A2:AD112,16,FALSE)),ROUND(VLOOKUP("1.2",A2:AD112,16,FALSE),4),0)</f>
        <v>51715693</v>
      </c>
      <c r="Q2" s="4">
        <f>IF(ISNUMBER(VLOOKUP("1.1",A2:AD112,17,FALSE)),ROUND(VLOOKUP("1.1",A2:AD112,17,FALSE),4),0) + IF(ISNUMBER(VLOOKUP("1.2",A2:AD112,17,FALSE)),ROUND(VLOOKUP("1.2",A2:AD112,17,FALSE),4),0)</f>
        <v>52921086</v>
      </c>
      <c r="R2" s="4">
        <f>IF(ISNUMBER(VLOOKUP("1.1",A2:AD112,18,FALSE)),ROUND(VLOOKUP("1.1",A2:AD112,18,FALSE),4),0) + IF(ISNUMBER(VLOOKUP("1.2",A2:AD112,18,FALSE)),ROUND(VLOOKUP("1.2",A2:AD112,18,FALSE),4),0)</f>
        <v>54156612</v>
      </c>
      <c r="S2" s="4">
        <f>IF(ISNUMBER(VLOOKUP("1.1",A2:AD112,19,FALSE)),ROUND(VLOOKUP("1.1",A2:AD112,19,FALSE),4),0) + IF(ISNUMBER(VLOOKUP("1.2",A2:AD112,19,FALSE)),ROUND(VLOOKUP("1.2",A2:AD112,19,FALSE),4),0)</f>
        <v>55423027</v>
      </c>
      <c r="T2" s="4">
        <f>IF(ISNUMBER(VLOOKUP("1.1",A2:AD112,20,FALSE)),ROUND(VLOOKUP("1.1",A2:AD112,20,FALSE),4),0) + IF(ISNUMBER(VLOOKUP("1.2",A2:AD112,20,FALSE)),ROUND(VLOOKUP("1.2",A2:AD112,20,FALSE),4),0)</f>
        <v>56721103</v>
      </c>
      <c r="U2" s="4">
        <f>IF(ISNUMBER(VLOOKUP("1.1",A2:AD112,21,FALSE)),ROUND(VLOOKUP("1.1",A2:AD112,21,FALSE),4),0) + IF(ISNUMBER(VLOOKUP("1.2",A2:AD112,21,FALSE)),ROUND(VLOOKUP("1.2",A2:AD112,21,FALSE),4),0)</f>
        <v>58051631</v>
      </c>
      <c r="V2" s="4">
        <f>IF(ISNUMBER(VLOOKUP("1.1",A2:AD112,22,FALSE)),ROUND(VLOOKUP("1.1",A2:AD112,22,FALSE),4),0) + IF(ISNUMBER(VLOOKUP("1.2",A2:AD112,22,FALSE)),ROUND(VLOOKUP("1.2",A2:AD112,22,FALSE),4),0)</f>
        <v>59415422</v>
      </c>
      <c r="W2" s="4">
        <f>IF(ISNUMBER(VLOOKUP("1.1",A2:AD112,23,FALSE)),ROUND(VLOOKUP("1.1",A2:AD112,23,FALSE),4),0) + IF(ISNUMBER(VLOOKUP("1.2",A2:AD112,23,FALSE)),ROUND(VLOOKUP("1.2",A2:AD112,23,FALSE),4),0)</f>
        <v>60813309</v>
      </c>
      <c r="X2" s="4">
        <f>IF(ISNUMBER(VLOOKUP("1.1",A2:AD112,24,FALSE)),ROUND(VLOOKUP("1.1",A2:AD112,24,FALSE),4),0) + IF(ISNUMBER(VLOOKUP("1.2",A2:AD112,24,FALSE)),ROUND(VLOOKUP("1.2",A2:AD112,24,FALSE),4),0)</f>
        <v>62246142</v>
      </c>
      <c r="Y2" s="4">
        <f>IF(ISNUMBER(VLOOKUP("1.1",A2:AD112,25,FALSE)),ROUND(VLOOKUP("1.1",A2:AD112,25,FALSE),4),0) + IF(ISNUMBER(VLOOKUP("1.2",A2:AD112,25,FALSE)),ROUND(VLOOKUP("1.2",A2:AD112,25,FALSE),4),0)</f>
        <v>63714796</v>
      </c>
      <c r="Z2" s="4">
        <f>IF(ISNUMBER(VLOOKUP("1.1",A2:AD112,26,FALSE)),ROUND(VLOOKUP("1.1",A2:AD112,26,FALSE),4),0) + IF(ISNUMBER(VLOOKUP("1.2",A2:AD112,26,FALSE)),ROUND(VLOOKUP("1.2",A2:AD112,26,FALSE),4),0)</f>
        <v>65220166</v>
      </c>
      <c r="AA2" s="4">
        <f>IF(ISNUMBER(VLOOKUP("1.1",A2:AD112,27,FALSE)),ROUND(VLOOKUP("1.1",A2:AD112,27,FALSE),4),0) + IF(ISNUMBER(VLOOKUP("1.2",A2:AD112,27,FALSE)),ROUND(VLOOKUP("1.2",A2:AD112,27,FALSE),4),0)</f>
        <v>66763170</v>
      </c>
      <c r="AB2" s="4">
        <f>IF(ISNUMBER(VLOOKUP("1.1",A2:AD112,28,FALSE)),ROUND(VLOOKUP("1.1",A2:AD112,28,FALSE),4),0) + IF(ISNUMBER(VLOOKUP("1.2",A2:AD112,28,FALSE)),ROUND(VLOOKUP("1.2",A2:AD112,28,FALSE),4),0)</f>
        <v>68344750</v>
      </c>
      <c r="AC2" s="4">
        <f>IF(ISNUMBER(VLOOKUP("1.1",A2:AD112,29,FALSE)),ROUND(VLOOKUP("1.1",A2:AD112,29,FALSE),4),0) + IF(ISNUMBER(VLOOKUP("1.2",A2:AD112,29,FALSE)),ROUND(VLOOKUP("1.2",A2:AD112,29,FALSE),4),0)</f>
        <v>69965869</v>
      </c>
      <c r="AD2" s="4">
        <f>IF(ISNUMBER(VLOOKUP("1.1",A2:AD112,30,FALSE)),ROUND(VLOOKUP("1.1",A2:AD112,30,FALSE),4),0) + IF(ISNUMBER(VLOOKUP("1.2",A2:AD112,30,FALSE)),ROUND(VLOOKUP("1.2",A2:AD112,30,FALSE),4),0)</f>
        <v>67465869</v>
      </c>
    </row>
    <row r="3" spans="1:30" ht="14.25" customHeight="1" x14ac:dyDescent="0.25">
      <c r="A3" s="2" t="s">
        <v>32</v>
      </c>
      <c r="B3" s="3" t="s">
        <v>33</v>
      </c>
      <c r="C3" s="4">
        <f>IF(ISNUMBER(VLOOKUP("1.1.1",A2:AD112,3,FALSE)),ROUND(VLOOKUP("1.1.1",A2:AD112,3,FALSE),4),0) + IF(ISNUMBER(VLOOKUP("1.1.2",A2:AD112,3,FALSE)),ROUND(VLOOKUP("1.1.2",A2:AD112,3,FALSE),4),0) + IF(ISNUMBER(VLOOKUP("1.1.3",A2:AD112,3,FALSE)),ROUND(VLOOKUP("1.1.3",A2:AD112,3,FALSE),4),0) + IF(ISNUMBER(VLOOKUP("1.1.4",A2:AD112,3,FALSE)),ROUND(VLOOKUP("1.1.4",A2:AD112,3,FALSE),4),0) + IF(ISNUMBER(VLOOKUP("1.1.5",A2:AD112,3,FALSE)),ROUND(VLOOKUP("1.1.5",A2:AD112,3,FALSE),4),0) + IF(ISNUMBER(VLOOKUP("1.1.x",A2:AD112,3,FALSE)),ROUND(VLOOKUP("1.1.x",A2:AD112,3,FALSE),4),0)</f>
        <v>35995117.480000004</v>
      </c>
      <c r="D3" s="4">
        <f>IF(ISNUMBER(VLOOKUP("1.1.1",A2:AD112,4,FALSE)),ROUND(VLOOKUP("1.1.1",A2:AD112,4,FALSE),4),0) + IF(ISNUMBER(VLOOKUP("1.1.2",A2:AD112,4,FALSE)),ROUND(VLOOKUP("1.1.2",A2:AD112,4,FALSE),4),0) + IF(ISNUMBER(VLOOKUP("1.1.3",A2:AD112,4,FALSE)),ROUND(VLOOKUP("1.1.3",A2:AD112,4,FALSE),4),0) + IF(ISNUMBER(VLOOKUP("1.1.4",A2:AD112,4,FALSE)),ROUND(VLOOKUP("1.1.4",A2:AD112,4,FALSE),4),0) + IF(ISNUMBER(VLOOKUP("1.1.5",A2:AD112,4,FALSE)),ROUND(VLOOKUP("1.1.5",A2:AD112,4,FALSE),4),0) + IF(ISNUMBER(VLOOKUP("1.1.x",A2:AD112,4,FALSE)),ROUND(VLOOKUP("1.1.x",A2:AD112,4,FALSE),4),0)</f>
        <v>38510219.289999999</v>
      </c>
      <c r="E3" s="4">
        <f>IF(ISNUMBER(VLOOKUP("1.1.1",A2:AD112,5,FALSE)),ROUND(VLOOKUP("1.1.1",A2:AD112,5,FALSE),4),0) + IF(ISNUMBER(VLOOKUP("1.1.2",A2:AD112,5,FALSE)),ROUND(VLOOKUP("1.1.2",A2:AD112,5,FALSE),4),0) + IF(ISNUMBER(VLOOKUP("1.1.3",A2:AD112,5,FALSE)),ROUND(VLOOKUP("1.1.3",A2:AD112,5,FALSE),4),0) + IF(ISNUMBER(VLOOKUP("1.1.4",A2:AD112,5,FALSE)),ROUND(VLOOKUP("1.1.4",A2:AD112,5,FALSE),4),0) + IF(ISNUMBER(VLOOKUP("1.1.5",A2:AD112,5,FALSE)),ROUND(VLOOKUP("1.1.5",A2:AD112,5,FALSE),4),0) + IF(ISNUMBER(VLOOKUP("1.1.x",A2:AD112,5,FALSE)),ROUND(VLOOKUP("1.1.x",A2:AD112,5,FALSE),4),0)</f>
        <v>43323867.559999995</v>
      </c>
      <c r="F3" s="4">
        <f>IF(ISNUMBER(VLOOKUP("1.1.1",A2:AD112,6,FALSE)),ROUND(VLOOKUP("1.1.1",A2:AD112,6,FALSE),4),0) + IF(ISNUMBER(VLOOKUP("1.1.2",A2:AD112,6,FALSE)),ROUND(VLOOKUP("1.1.2",A2:AD112,6,FALSE),4),0) + IF(ISNUMBER(VLOOKUP("1.1.3",A2:AD112,6,FALSE)),ROUND(VLOOKUP("1.1.3",A2:AD112,6,FALSE),4),0) + IF(ISNUMBER(VLOOKUP("1.1.4",A2:AD112,6,FALSE)),ROUND(VLOOKUP("1.1.4",A2:AD112,6,FALSE),4),0) + IF(ISNUMBER(VLOOKUP("1.1.5",A2:AD112,6,FALSE)),ROUND(VLOOKUP("1.1.5",A2:AD112,6,FALSE),4),0) + IF(ISNUMBER(VLOOKUP("1.1.x",A2:AD112,6,FALSE)),ROUND(VLOOKUP("1.1.x",A2:AD112,6,FALSE),4),0)</f>
        <v>43367595.829999998</v>
      </c>
      <c r="G3" s="4">
        <f>IF(ISNUMBER(VLOOKUP("1.1.1",A2:AD112,7,FALSE)),ROUND(VLOOKUP("1.1.1",A2:AD112,7,FALSE),4),0) + IF(ISNUMBER(VLOOKUP("1.1.2",A2:AD112,7,FALSE)),ROUND(VLOOKUP("1.1.2",A2:AD112,7,FALSE),4),0) + IF(ISNUMBER(VLOOKUP("1.1.3",A2:AD112,7,FALSE)),ROUND(VLOOKUP("1.1.3",A2:AD112,7,FALSE),4),0) + IF(ISNUMBER(VLOOKUP("1.1.4",A2:AD112,7,FALSE)),ROUND(VLOOKUP("1.1.4",A2:AD112,7,FALSE),4),0) + IF(ISNUMBER(VLOOKUP("1.1.5",A2:AD112,7,FALSE)),ROUND(VLOOKUP("1.1.5",A2:AD112,7,FALSE),4),0) + IF(ISNUMBER(VLOOKUP("1.1.x",A2:AD112,7,FALSE)),ROUND(VLOOKUP("1.1.x",A2:AD112,7,FALSE),4),0)</f>
        <v>43743509.119999997</v>
      </c>
      <c r="H3" s="4">
        <f>IF(ISNUMBER(VLOOKUP("1.1.1",A2:AD112,8,FALSE)),ROUND(VLOOKUP("1.1.1",A2:AD112,8,FALSE),4),0) + IF(ISNUMBER(VLOOKUP("1.1.2",A2:AD112,8,FALSE)),ROUND(VLOOKUP("1.1.2",A2:AD112,8,FALSE),4),0) + IF(ISNUMBER(VLOOKUP("1.1.3",A2:AD112,8,FALSE)),ROUND(VLOOKUP("1.1.3",A2:AD112,8,FALSE),4),0) + IF(ISNUMBER(VLOOKUP("1.1.4",A2:AD112,8,FALSE)),ROUND(VLOOKUP("1.1.4",A2:AD112,8,FALSE),4),0) + IF(ISNUMBER(VLOOKUP("1.1.5",A2:AD112,8,FALSE)),ROUND(VLOOKUP("1.1.5",A2:AD112,8,FALSE),4),0) + IF(ISNUMBER(VLOOKUP("1.1.x",A2:AD112,8,FALSE)),ROUND(VLOOKUP("1.1.x",A2:AD112,8,FALSE),4),0)</f>
        <v>46367432.030000001</v>
      </c>
      <c r="I3" s="4">
        <f>IF(ISNUMBER(VLOOKUP("1.1.1",A2:AD112,9,FALSE)),ROUND(VLOOKUP("1.1.1",A2:AD112,9,FALSE),4),0) + IF(ISNUMBER(VLOOKUP("1.1.2",A2:AD112,9,FALSE)),ROUND(VLOOKUP("1.1.2",A2:AD112,9,FALSE),4),0) + IF(ISNUMBER(VLOOKUP("1.1.3",A2:AD112,9,FALSE)),ROUND(VLOOKUP("1.1.3",A2:AD112,9,FALSE),4),0) + IF(ISNUMBER(VLOOKUP("1.1.4",A2:AD112,9,FALSE)),ROUND(VLOOKUP("1.1.4",A2:AD112,9,FALSE),4),0) + IF(ISNUMBER(VLOOKUP("1.1.5",A2:AD112,9,FALSE)),ROUND(VLOOKUP("1.1.5",A2:AD112,9,FALSE),4),0) + IF(ISNUMBER(VLOOKUP("1.1.x",A2:AD112,9,FALSE)),ROUND(VLOOKUP("1.1.x",A2:AD112,9,FALSE),4),0)</f>
        <v>47256754.030000001</v>
      </c>
      <c r="J3" s="4">
        <f>IF(ISNUMBER(VLOOKUP("1.1.1",A2:AD112,10,FALSE)),ROUND(VLOOKUP("1.1.1",A2:AD112,10,FALSE),4),0) + IF(ISNUMBER(VLOOKUP("1.1.2",A2:AD112,10,FALSE)),ROUND(VLOOKUP("1.1.2",A2:AD112,10,FALSE),4),0) + IF(ISNUMBER(VLOOKUP("1.1.3",A2:AD112,10,FALSE)),ROUND(VLOOKUP("1.1.3",A2:AD112,10,FALSE),4),0) + IF(ISNUMBER(VLOOKUP("1.1.4",A2:AD112,10,FALSE)),ROUND(VLOOKUP("1.1.4",A2:AD112,10,FALSE),4),0) + IF(ISNUMBER(VLOOKUP("1.1.5",A2:AD112,10,FALSE)),ROUND(VLOOKUP("1.1.5",A2:AD112,10,FALSE),4),0) + IF(ISNUMBER(VLOOKUP("1.1.x",A2:AD112,10,FALSE)),ROUND(VLOOKUP("1.1.x",A2:AD112,10,FALSE),4),0)</f>
        <v>48170808.030000001</v>
      </c>
      <c r="K3" s="4">
        <f>IF(ISNUMBER(VLOOKUP("1.1.1",A2:AD112,11,FALSE)),ROUND(VLOOKUP("1.1.1",A2:AD112,11,FALSE),4),0) + IF(ISNUMBER(VLOOKUP("1.1.2",A2:AD112,11,FALSE)),ROUND(VLOOKUP("1.1.2",A2:AD112,11,FALSE),4),0) + IF(ISNUMBER(VLOOKUP("1.1.3",A2:AD112,11,FALSE)),ROUND(VLOOKUP("1.1.3",A2:AD112,11,FALSE),4),0) + IF(ISNUMBER(VLOOKUP("1.1.4",A2:AD112,11,FALSE)),ROUND(VLOOKUP("1.1.4",A2:AD112,11,FALSE),4),0) + IF(ISNUMBER(VLOOKUP("1.1.5",A2:AD112,11,FALSE)),ROUND(VLOOKUP("1.1.5",A2:AD112,11,FALSE),4),0) + IF(ISNUMBER(VLOOKUP("1.1.x",A2:AD112,11,FALSE)),ROUND(VLOOKUP("1.1.x",A2:AD112,11,FALSE),4),0)</f>
        <v>45129597</v>
      </c>
      <c r="L3" s="4">
        <f>IF(ISNUMBER(VLOOKUP("1.1.1",A2:AD112,12,FALSE)),ROUND(VLOOKUP("1.1.1",A2:AD112,12,FALSE),4),0) + IF(ISNUMBER(VLOOKUP("1.1.2",A2:AD112,12,FALSE)),ROUND(VLOOKUP("1.1.2",A2:AD112,12,FALSE),4),0) + IF(ISNUMBER(VLOOKUP("1.1.3",A2:AD112,12,FALSE)),ROUND(VLOOKUP("1.1.3",A2:AD112,12,FALSE),4),0) + IF(ISNUMBER(VLOOKUP("1.1.4",A2:AD112,12,FALSE)),ROUND(VLOOKUP("1.1.4",A2:AD112,12,FALSE),4),0) + IF(ISNUMBER(VLOOKUP("1.1.5",A2:AD112,12,FALSE)),ROUND(VLOOKUP("1.1.5",A2:AD112,12,FALSE),4),0) + IF(ISNUMBER(VLOOKUP("1.1.x",A2:AD112,12,FALSE)),ROUND(VLOOKUP("1.1.x",A2:AD112,12,FALSE),4),0)</f>
        <v>44681039</v>
      </c>
      <c r="M3" s="4">
        <f>IF(ISNUMBER(VLOOKUP("1.1.1",A2:AD112,13,FALSE)),ROUND(VLOOKUP("1.1.1",A2:AD112,13,FALSE),4),0) + IF(ISNUMBER(VLOOKUP("1.1.2",A2:AD112,13,FALSE)),ROUND(VLOOKUP("1.1.2",A2:AD112,13,FALSE),4),0) + IF(ISNUMBER(VLOOKUP("1.1.3",A2:AD112,13,FALSE)),ROUND(VLOOKUP("1.1.3",A2:AD112,13,FALSE),4),0) + IF(ISNUMBER(VLOOKUP("1.1.4",A2:AD112,13,FALSE)),ROUND(VLOOKUP("1.1.4",A2:AD112,13,FALSE),4),0) + IF(ISNUMBER(VLOOKUP("1.1.5",A2:AD112,13,FALSE)),ROUND(VLOOKUP("1.1.5",A2:AD112,13,FALSE),4),0) + IF(ISNUMBER(VLOOKUP("1.1.x",A2:AD112,13,FALSE)),ROUND(VLOOKUP("1.1.x",A2:AD112,13,FALSE),4),0)</f>
        <v>45773065</v>
      </c>
      <c r="N3" s="4">
        <f>IF(ISNUMBER(VLOOKUP("1.1.1",A2:AD112,14,FALSE)),ROUND(VLOOKUP("1.1.1",A2:AD112,14,FALSE),4),0) + IF(ISNUMBER(VLOOKUP("1.1.2",A2:AD112,14,FALSE)),ROUND(VLOOKUP("1.1.2",A2:AD112,14,FALSE),4),0) + IF(ISNUMBER(VLOOKUP("1.1.3",A2:AD112,14,FALSE)),ROUND(VLOOKUP("1.1.3",A2:AD112,14,FALSE),4),0) + IF(ISNUMBER(VLOOKUP("1.1.4",A2:AD112,14,FALSE)),ROUND(VLOOKUP("1.1.4",A2:AD112,14,FALSE),4),0) + IF(ISNUMBER(VLOOKUP("1.1.5",A2:AD112,14,FALSE)),ROUND(VLOOKUP("1.1.5",A2:AD112,14,FALSE),4),0) + IF(ISNUMBER(VLOOKUP("1.1.x",A2:AD112,14,FALSE)),ROUND(VLOOKUP("1.1.x",A2:AD112,14,FALSE),4),0)</f>
        <v>46892391</v>
      </c>
      <c r="O3" s="4">
        <f>IF(ISNUMBER(VLOOKUP("1.1.1",A2:AD112,15,FALSE)),ROUND(VLOOKUP("1.1.1",A2:AD112,15,FALSE),4),0) + IF(ISNUMBER(VLOOKUP("1.1.2",A2:AD112,15,FALSE)),ROUND(VLOOKUP("1.1.2",A2:AD112,15,FALSE),4),0) + IF(ISNUMBER(VLOOKUP("1.1.3",A2:AD112,15,FALSE)),ROUND(VLOOKUP("1.1.3",A2:AD112,15,FALSE),4),0) + IF(ISNUMBER(VLOOKUP("1.1.4",A2:AD112,15,FALSE)),ROUND(VLOOKUP("1.1.4",A2:AD112,15,FALSE),4),0) + IF(ISNUMBER(VLOOKUP("1.1.5",A2:AD112,15,FALSE)),ROUND(VLOOKUP("1.1.5",A2:AD112,15,FALSE),4),0) + IF(ISNUMBER(VLOOKUP("1.1.x",A2:AD112,15,FALSE)),ROUND(VLOOKUP("1.1.x",A2:AD112,15,FALSE),4),0)</f>
        <v>48039701</v>
      </c>
      <c r="P3" s="4">
        <f>IF(ISNUMBER(VLOOKUP("1.1.1",A2:AD112,16,FALSE)),ROUND(VLOOKUP("1.1.1",A2:AD112,16,FALSE),4),0) + IF(ISNUMBER(VLOOKUP("1.1.2",A2:AD112,16,FALSE)),ROUND(VLOOKUP("1.1.2",A2:AD112,16,FALSE),4),0) + IF(ISNUMBER(VLOOKUP("1.1.3",A2:AD112,16,FALSE)),ROUND(VLOOKUP("1.1.3",A2:AD112,16,FALSE),4),0) + IF(ISNUMBER(VLOOKUP("1.1.4",A2:AD112,16,FALSE)),ROUND(VLOOKUP("1.1.4",A2:AD112,16,FALSE),4),0) + IF(ISNUMBER(VLOOKUP("1.1.5",A2:AD112,16,FALSE)),ROUND(VLOOKUP("1.1.5",A2:AD112,16,FALSE),4),0) + IF(ISNUMBER(VLOOKUP("1.1.x",A2:AD112,16,FALSE)),ROUND(VLOOKUP("1.1.x",A2:AD112,16,FALSE),4),0)</f>
        <v>49215693</v>
      </c>
      <c r="Q3" s="4">
        <f>IF(ISNUMBER(VLOOKUP("1.1.1",A2:AD112,17,FALSE)),ROUND(VLOOKUP("1.1.1",A2:AD112,17,FALSE),4),0) + IF(ISNUMBER(VLOOKUP("1.1.2",A2:AD112,17,FALSE)),ROUND(VLOOKUP("1.1.2",A2:AD112,17,FALSE),4),0) + IF(ISNUMBER(VLOOKUP("1.1.3",A2:AD112,17,FALSE)),ROUND(VLOOKUP("1.1.3",A2:AD112,17,FALSE),4),0) + IF(ISNUMBER(VLOOKUP("1.1.4",A2:AD112,17,FALSE)),ROUND(VLOOKUP("1.1.4",A2:AD112,17,FALSE),4),0) + IF(ISNUMBER(VLOOKUP("1.1.5",A2:AD112,17,FALSE)),ROUND(VLOOKUP("1.1.5",A2:AD112,17,FALSE),4),0) + IF(ISNUMBER(VLOOKUP("1.1.x",A2:AD112,17,FALSE)),ROUND(VLOOKUP("1.1.x",A2:AD112,17,FALSE),4),0)</f>
        <v>50421086</v>
      </c>
      <c r="R3" s="4">
        <f>IF(ISNUMBER(VLOOKUP("1.1.1",A2:AD112,18,FALSE)),ROUND(VLOOKUP("1.1.1",A2:AD112,18,FALSE),4),0) + IF(ISNUMBER(VLOOKUP("1.1.2",A2:AD112,18,FALSE)),ROUND(VLOOKUP("1.1.2",A2:AD112,18,FALSE),4),0) + IF(ISNUMBER(VLOOKUP("1.1.3",A2:AD112,18,FALSE)),ROUND(VLOOKUP("1.1.3",A2:AD112,18,FALSE),4),0) + IF(ISNUMBER(VLOOKUP("1.1.4",A2:AD112,18,FALSE)),ROUND(VLOOKUP("1.1.4",A2:AD112,18,FALSE),4),0) + IF(ISNUMBER(VLOOKUP("1.1.5",A2:AD112,18,FALSE)),ROUND(VLOOKUP("1.1.5",A2:AD112,18,FALSE),4),0) + IF(ISNUMBER(VLOOKUP("1.1.x",A2:AD112,18,FALSE)),ROUND(VLOOKUP("1.1.x",A2:AD112,18,FALSE),4),0)</f>
        <v>51656612</v>
      </c>
      <c r="S3" s="4">
        <f>IF(ISNUMBER(VLOOKUP("1.1.1",A2:AD112,19,FALSE)),ROUND(VLOOKUP("1.1.1",A2:AD112,19,FALSE),4),0) + IF(ISNUMBER(VLOOKUP("1.1.2",A2:AD112,19,FALSE)),ROUND(VLOOKUP("1.1.2",A2:AD112,19,FALSE),4),0) + IF(ISNUMBER(VLOOKUP("1.1.3",A2:AD112,19,FALSE)),ROUND(VLOOKUP("1.1.3",A2:AD112,19,FALSE),4),0) + IF(ISNUMBER(VLOOKUP("1.1.4",A2:AD112,19,FALSE)),ROUND(VLOOKUP("1.1.4",A2:AD112,19,FALSE),4),0) + IF(ISNUMBER(VLOOKUP("1.1.5",A2:AD112,19,FALSE)),ROUND(VLOOKUP("1.1.5",A2:AD112,19,FALSE),4),0) + IF(ISNUMBER(VLOOKUP("1.1.x",A2:AD112,19,FALSE)),ROUND(VLOOKUP("1.1.x",A2:AD112,19,FALSE),4),0)</f>
        <v>52923027</v>
      </c>
      <c r="T3" s="4">
        <f>IF(ISNUMBER(VLOOKUP("1.1.1",A2:AD112,20,FALSE)),ROUND(VLOOKUP("1.1.1",A2:AD112,20,FALSE),4),0) + IF(ISNUMBER(VLOOKUP("1.1.2",A2:AD112,20,FALSE)),ROUND(VLOOKUP("1.1.2",A2:AD112,20,FALSE),4),0) + IF(ISNUMBER(VLOOKUP("1.1.3",A2:AD112,20,FALSE)),ROUND(VLOOKUP("1.1.3",A2:AD112,20,FALSE),4),0) + IF(ISNUMBER(VLOOKUP("1.1.4",A2:AD112,20,FALSE)),ROUND(VLOOKUP("1.1.4",A2:AD112,20,FALSE),4),0) + IF(ISNUMBER(VLOOKUP("1.1.5",A2:AD112,20,FALSE)),ROUND(VLOOKUP("1.1.5",A2:AD112,20,FALSE),4),0) + IF(ISNUMBER(VLOOKUP("1.1.x",A2:AD112,20,FALSE)),ROUND(VLOOKUP("1.1.x",A2:AD112,20,FALSE),4),0)</f>
        <v>54221103</v>
      </c>
      <c r="U3" s="4">
        <f>IF(ISNUMBER(VLOOKUP("1.1.1",A2:AD112,21,FALSE)),ROUND(VLOOKUP("1.1.1",A2:AD112,21,FALSE),4),0) + IF(ISNUMBER(VLOOKUP("1.1.2",A2:AD112,21,FALSE)),ROUND(VLOOKUP("1.1.2",A2:AD112,21,FALSE),4),0) + IF(ISNUMBER(VLOOKUP("1.1.3",A2:AD112,21,FALSE)),ROUND(VLOOKUP("1.1.3",A2:AD112,21,FALSE),4),0) + IF(ISNUMBER(VLOOKUP("1.1.4",A2:AD112,21,FALSE)),ROUND(VLOOKUP("1.1.4",A2:AD112,21,FALSE),4),0) + IF(ISNUMBER(VLOOKUP("1.1.5",A2:AD112,21,FALSE)),ROUND(VLOOKUP("1.1.5",A2:AD112,21,FALSE),4),0) + IF(ISNUMBER(VLOOKUP("1.1.x",A2:AD112,21,FALSE)),ROUND(VLOOKUP("1.1.x",A2:AD112,21,FALSE),4),0)</f>
        <v>55551631</v>
      </c>
      <c r="V3" s="4">
        <f>IF(ISNUMBER(VLOOKUP("1.1.1",A2:AD112,22,FALSE)),ROUND(VLOOKUP("1.1.1",A2:AD112,22,FALSE),4),0) + IF(ISNUMBER(VLOOKUP("1.1.2",A2:AD112,22,FALSE)),ROUND(VLOOKUP("1.1.2",A2:AD112,22,FALSE),4),0) + IF(ISNUMBER(VLOOKUP("1.1.3",A2:AD112,22,FALSE)),ROUND(VLOOKUP("1.1.3",A2:AD112,22,FALSE),4),0) + IF(ISNUMBER(VLOOKUP("1.1.4",A2:AD112,22,FALSE)),ROUND(VLOOKUP("1.1.4",A2:AD112,22,FALSE),4),0) + IF(ISNUMBER(VLOOKUP("1.1.5",A2:AD112,22,FALSE)),ROUND(VLOOKUP("1.1.5",A2:AD112,22,FALSE),4),0) + IF(ISNUMBER(VLOOKUP("1.1.x",A2:AD112,22,FALSE)),ROUND(VLOOKUP("1.1.x",A2:AD112,22,FALSE),4),0)</f>
        <v>56915422</v>
      </c>
      <c r="W3" s="4">
        <f>IF(ISNUMBER(VLOOKUP("1.1.1",A2:AD112,23,FALSE)),ROUND(VLOOKUP("1.1.1",A2:AD112,23,FALSE),4),0) + IF(ISNUMBER(VLOOKUP("1.1.2",A2:AD112,23,FALSE)),ROUND(VLOOKUP("1.1.2",A2:AD112,23,FALSE),4),0) + IF(ISNUMBER(VLOOKUP("1.1.3",A2:AD112,23,FALSE)),ROUND(VLOOKUP("1.1.3",A2:AD112,23,FALSE),4),0) + IF(ISNUMBER(VLOOKUP("1.1.4",A2:AD112,23,FALSE)),ROUND(VLOOKUP("1.1.4",A2:AD112,23,FALSE),4),0) + IF(ISNUMBER(VLOOKUP("1.1.5",A2:AD112,23,FALSE)),ROUND(VLOOKUP("1.1.5",A2:AD112,23,FALSE),4),0) + IF(ISNUMBER(VLOOKUP("1.1.x",A2:AD112,23,FALSE)),ROUND(VLOOKUP("1.1.x",A2:AD112,23,FALSE),4),0)</f>
        <v>58313309</v>
      </c>
      <c r="X3" s="4">
        <f>IF(ISNUMBER(VLOOKUP("1.1.1",A2:AD112,24,FALSE)),ROUND(VLOOKUP("1.1.1",A2:AD112,24,FALSE),4),0) + IF(ISNUMBER(VLOOKUP("1.1.2",A2:AD112,24,FALSE)),ROUND(VLOOKUP("1.1.2",A2:AD112,24,FALSE),4),0) + IF(ISNUMBER(VLOOKUP("1.1.3",A2:AD112,24,FALSE)),ROUND(VLOOKUP("1.1.3",A2:AD112,24,FALSE),4),0) + IF(ISNUMBER(VLOOKUP("1.1.4",A2:AD112,24,FALSE)),ROUND(VLOOKUP("1.1.4",A2:AD112,24,FALSE),4),0) + IF(ISNUMBER(VLOOKUP("1.1.5",A2:AD112,24,FALSE)),ROUND(VLOOKUP("1.1.5",A2:AD112,24,FALSE),4),0) + IF(ISNUMBER(VLOOKUP("1.1.x",A2:AD112,24,FALSE)),ROUND(VLOOKUP("1.1.x",A2:AD112,24,FALSE),4),0)</f>
        <v>59746142</v>
      </c>
      <c r="Y3" s="4">
        <f>IF(ISNUMBER(VLOOKUP("1.1.1",A2:AD112,25,FALSE)),ROUND(VLOOKUP("1.1.1",A2:AD112,25,FALSE),4),0) + IF(ISNUMBER(VLOOKUP("1.1.2",A2:AD112,25,FALSE)),ROUND(VLOOKUP("1.1.2",A2:AD112,25,FALSE),4),0) + IF(ISNUMBER(VLOOKUP("1.1.3",A2:AD112,25,FALSE)),ROUND(VLOOKUP("1.1.3",A2:AD112,25,FALSE),4),0) + IF(ISNUMBER(VLOOKUP("1.1.4",A2:AD112,25,FALSE)),ROUND(VLOOKUP("1.1.4",A2:AD112,25,FALSE),4),0) + IF(ISNUMBER(VLOOKUP("1.1.5",A2:AD112,25,FALSE)),ROUND(VLOOKUP("1.1.5",A2:AD112,25,FALSE),4),0) + IF(ISNUMBER(VLOOKUP("1.1.x",A2:AD112,25,FALSE)),ROUND(VLOOKUP("1.1.x",A2:AD112,25,FALSE),4),0)</f>
        <v>61214796</v>
      </c>
      <c r="Z3" s="4">
        <f>IF(ISNUMBER(VLOOKUP("1.1.1",A2:AD112,26,FALSE)),ROUND(VLOOKUP("1.1.1",A2:AD112,26,FALSE),4),0) + IF(ISNUMBER(VLOOKUP("1.1.2",A2:AD112,26,FALSE)),ROUND(VLOOKUP("1.1.2",A2:AD112,26,FALSE),4),0) + IF(ISNUMBER(VLOOKUP("1.1.3",A2:AD112,26,FALSE)),ROUND(VLOOKUP("1.1.3",A2:AD112,26,FALSE),4),0) + IF(ISNUMBER(VLOOKUP("1.1.4",A2:AD112,26,FALSE)),ROUND(VLOOKUP("1.1.4",A2:AD112,26,FALSE),4),0) + IF(ISNUMBER(VLOOKUP("1.1.5",A2:AD112,26,FALSE)),ROUND(VLOOKUP("1.1.5",A2:AD112,26,FALSE),4),0) + IF(ISNUMBER(VLOOKUP("1.1.x",A2:AD112,26,FALSE)),ROUND(VLOOKUP("1.1.x",A2:AD112,26,FALSE),4),0)</f>
        <v>62720166</v>
      </c>
      <c r="AA3" s="4">
        <f>IF(ISNUMBER(VLOOKUP("1.1.1",A2:AD112,27,FALSE)),ROUND(VLOOKUP("1.1.1",A2:AD112,27,FALSE),4),0) + IF(ISNUMBER(VLOOKUP("1.1.2",A2:AD112,27,FALSE)),ROUND(VLOOKUP("1.1.2",A2:AD112,27,FALSE),4),0) + IF(ISNUMBER(VLOOKUP("1.1.3",A2:AD112,27,FALSE)),ROUND(VLOOKUP("1.1.3",A2:AD112,27,FALSE),4),0) + IF(ISNUMBER(VLOOKUP("1.1.4",A2:AD112,27,FALSE)),ROUND(VLOOKUP("1.1.4",A2:AD112,27,FALSE),4),0) + IF(ISNUMBER(VLOOKUP("1.1.5",A2:AD112,27,FALSE)),ROUND(VLOOKUP("1.1.5",A2:AD112,27,FALSE),4),0) + IF(ISNUMBER(VLOOKUP("1.1.x",A2:AD112,27,FALSE)),ROUND(VLOOKUP("1.1.x",A2:AD112,27,FALSE),4),0)</f>
        <v>64263170</v>
      </c>
      <c r="AB3" s="4">
        <f>IF(ISNUMBER(VLOOKUP("1.1.1",A2:AD112,28,FALSE)),ROUND(VLOOKUP("1.1.1",A2:AD112,28,FALSE),4),0) + IF(ISNUMBER(VLOOKUP("1.1.2",A2:AD112,28,FALSE)),ROUND(VLOOKUP("1.1.2",A2:AD112,28,FALSE),4),0) + IF(ISNUMBER(VLOOKUP("1.1.3",A2:AD112,28,FALSE)),ROUND(VLOOKUP("1.1.3",A2:AD112,28,FALSE),4),0) + IF(ISNUMBER(VLOOKUP("1.1.4",A2:AD112,28,FALSE)),ROUND(VLOOKUP("1.1.4",A2:AD112,28,FALSE),4),0) + IF(ISNUMBER(VLOOKUP("1.1.5",A2:AD112,28,FALSE)),ROUND(VLOOKUP("1.1.5",A2:AD112,28,FALSE),4),0) + IF(ISNUMBER(VLOOKUP("1.1.x",A2:AD112,28,FALSE)),ROUND(VLOOKUP("1.1.x",A2:AD112,28,FALSE),4),0)</f>
        <v>65844750</v>
      </c>
      <c r="AC3" s="4">
        <f>IF(ISNUMBER(VLOOKUP("1.1.1",A2:AD112,29,FALSE)),ROUND(VLOOKUP("1.1.1",A2:AD112,29,FALSE),4),0) + IF(ISNUMBER(VLOOKUP("1.1.2",A2:AD112,29,FALSE)),ROUND(VLOOKUP("1.1.2",A2:AD112,29,FALSE),4),0) + IF(ISNUMBER(VLOOKUP("1.1.3",A2:AD112,29,FALSE)),ROUND(VLOOKUP("1.1.3",A2:AD112,29,FALSE),4),0) + IF(ISNUMBER(VLOOKUP("1.1.4",A2:AD112,29,FALSE)),ROUND(VLOOKUP("1.1.4",A2:AD112,29,FALSE),4),0) + IF(ISNUMBER(VLOOKUP("1.1.5",A2:AD112,29,FALSE)),ROUND(VLOOKUP("1.1.5",A2:AD112,29,FALSE),4),0) + IF(ISNUMBER(VLOOKUP("1.1.x",A2:AD112,29,FALSE)),ROUND(VLOOKUP("1.1.x",A2:AD112,29,FALSE),4),0)</f>
        <v>67465869</v>
      </c>
      <c r="AD3" s="4">
        <f>IF(ISNUMBER(VLOOKUP("1.1.1",A2:AD112,30,FALSE)),ROUND(VLOOKUP("1.1.1",A2:AD112,30,FALSE),4),0) + IF(ISNUMBER(VLOOKUP("1.1.2",A2:AD112,30,FALSE)),ROUND(VLOOKUP("1.1.2",A2:AD112,30,FALSE),4),0) + IF(ISNUMBER(VLOOKUP("1.1.3",A2:AD112,30,FALSE)),ROUND(VLOOKUP("1.1.3",A2:AD112,30,FALSE),4),0) + IF(ISNUMBER(VLOOKUP("1.1.4",A2:AD112,30,FALSE)),ROUND(VLOOKUP("1.1.4",A2:AD112,30,FALSE),4),0) + IF(ISNUMBER(VLOOKUP("1.1.5",A2:AD112,30,FALSE)),ROUND(VLOOKUP("1.1.5",A2:AD112,30,FALSE),4),0) + IF(ISNUMBER(VLOOKUP("1.1.x",A2:AD112,30,FALSE)),ROUND(VLOOKUP("1.1.x",A2:AD112,30,FALSE),4),0)</f>
        <v>67465869</v>
      </c>
    </row>
    <row r="4" spans="1:30" ht="27" customHeight="1" x14ac:dyDescent="0.25">
      <c r="A4" s="5" t="s">
        <v>34</v>
      </c>
      <c r="B4" s="6" t="s">
        <v>35</v>
      </c>
      <c r="C4" s="7">
        <v>6887062</v>
      </c>
      <c r="D4" s="7">
        <v>7404950</v>
      </c>
      <c r="E4" s="7">
        <v>7965742</v>
      </c>
      <c r="F4" s="7">
        <v>7965742</v>
      </c>
      <c r="G4" s="8">
        <v>9115192</v>
      </c>
      <c r="H4" s="8">
        <v>9343072</v>
      </c>
      <c r="I4" s="8">
        <v>9576649</v>
      </c>
      <c r="J4" s="8">
        <v>9816065</v>
      </c>
      <c r="K4" s="8">
        <v>10061467</v>
      </c>
      <c r="L4" s="8">
        <v>10313004</v>
      </c>
      <c r="M4" s="8">
        <v>10570829</v>
      </c>
      <c r="N4" s="8">
        <v>10835100</v>
      </c>
      <c r="O4" s="8">
        <v>11105978</v>
      </c>
      <c r="P4" s="8">
        <v>11383627</v>
      </c>
      <c r="Q4" s="8">
        <v>11668218</v>
      </c>
      <c r="R4" s="8">
        <v>11959923</v>
      </c>
      <c r="S4" s="8">
        <v>12258921</v>
      </c>
      <c r="T4" s="8">
        <v>12565394</v>
      </c>
      <c r="U4" s="8">
        <v>12879529</v>
      </c>
      <c r="V4" s="8">
        <v>13201517</v>
      </c>
      <c r="W4" s="8">
        <v>13531555</v>
      </c>
      <c r="X4" s="8">
        <v>13869844</v>
      </c>
      <c r="Y4" s="8">
        <v>14216590</v>
      </c>
      <c r="Z4" s="8">
        <v>14572005</v>
      </c>
      <c r="AA4" s="8">
        <v>14936305</v>
      </c>
      <c r="AB4" s="8">
        <v>15309713</v>
      </c>
      <c r="AC4" s="8">
        <v>15692456</v>
      </c>
      <c r="AD4" s="8">
        <v>15692456</v>
      </c>
    </row>
    <row r="5" spans="1:30" ht="27" customHeight="1" x14ac:dyDescent="0.25">
      <c r="A5" s="5" t="s">
        <v>36</v>
      </c>
      <c r="B5" s="6" t="s">
        <v>37</v>
      </c>
      <c r="C5" s="7">
        <v>67900.42</v>
      </c>
      <c r="D5" s="7">
        <v>83651.94</v>
      </c>
      <c r="E5" s="7">
        <v>80000</v>
      </c>
      <c r="F5" s="7">
        <v>80000</v>
      </c>
      <c r="G5" s="8">
        <v>90000</v>
      </c>
      <c r="H5" s="8">
        <v>82000</v>
      </c>
      <c r="I5" s="8">
        <v>84050</v>
      </c>
      <c r="J5" s="8">
        <v>86151</v>
      </c>
      <c r="K5" s="8">
        <v>88305</v>
      </c>
      <c r="L5" s="8">
        <v>90513</v>
      </c>
      <c r="M5" s="8">
        <v>92776</v>
      </c>
      <c r="N5" s="8">
        <v>95095</v>
      </c>
      <c r="O5" s="8">
        <v>97472</v>
      </c>
      <c r="P5" s="8">
        <v>99909</v>
      </c>
      <c r="Q5" s="8">
        <v>102407</v>
      </c>
      <c r="R5" s="8">
        <v>104967</v>
      </c>
      <c r="S5" s="8">
        <v>107591</v>
      </c>
      <c r="T5" s="8">
        <v>110281</v>
      </c>
      <c r="U5" s="8">
        <v>113038</v>
      </c>
      <c r="V5" s="8">
        <v>115864</v>
      </c>
      <c r="W5" s="8">
        <v>118761</v>
      </c>
      <c r="X5" s="8">
        <v>121730</v>
      </c>
      <c r="Y5" s="8">
        <v>124773</v>
      </c>
      <c r="Z5" s="8">
        <v>127892</v>
      </c>
      <c r="AA5" s="8">
        <v>131089</v>
      </c>
      <c r="AB5" s="8">
        <v>134366</v>
      </c>
      <c r="AC5" s="8">
        <v>137725</v>
      </c>
      <c r="AD5" s="8">
        <v>137725</v>
      </c>
    </row>
    <row r="6" spans="1:30" ht="14.25" customHeight="1" x14ac:dyDescent="0.25">
      <c r="A6" s="5" t="s">
        <v>38</v>
      </c>
      <c r="B6" s="6" t="s">
        <v>39</v>
      </c>
      <c r="C6" s="7">
        <v>7628034.8600000003</v>
      </c>
      <c r="D6" s="7">
        <v>8016057.7400000002</v>
      </c>
      <c r="E6" s="7">
        <v>8039238.3300000001</v>
      </c>
      <c r="F6" s="7">
        <v>8051417.1699999999</v>
      </c>
      <c r="G6" s="8">
        <v>7786099.54</v>
      </c>
      <c r="H6" s="8">
        <v>7963958</v>
      </c>
      <c r="I6" s="8">
        <v>8163057</v>
      </c>
      <c r="J6" s="8">
        <v>8367133</v>
      </c>
      <c r="K6" s="8">
        <v>8576311</v>
      </c>
      <c r="L6" s="8">
        <v>8790719</v>
      </c>
      <c r="M6" s="8">
        <v>9010487</v>
      </c>
      <c r="N6" s="8">
        <v>9235749</v>
      </c>
      <c r="O6" s="8">
        <v>9466643</v>
      </c>
      <c r="P6" s="8">
        <v>9703309</v>
      </c>
      <c r="Q6" s="8">
        <v>9945892</v>
      </c>
      <c r="R6" s="8">
        <v>10194539</v>
      </c>
      <c r="S6" s="8">
        <v>10449402</v>
      </c>
      <c r="T6" s="8">
        <v>10710637</v>
      </c>
      <c r="U6" s="8">
        <v>10978403</v>
      </c>
      <c r="V6" s="8">
        <v>11252863</v>
      </c>
      <c r="W6" s="8">
        <v>11534185</v>
      </c>
      <c r="X6" s="8">
        <v>11822540</v>
      </c>
      <c r="Y6" s="8">
        <v>12118104</v>
      </c>
      <c r="Z6" s="8">
        <v>12421057</v>
      </c>
      <c r="AA6" s="8">
        <v>12731583</v>
      </c>
      <c r="AB6" s="8">
        <v>13049873</v>
      </c>
      <c r="AC6" s="8">
        <v>13376120</v>
      </c>
      <c r="AD6" s="8">
        <v>13376120</v>
      </c>
    </row>
    <row r="7" spans="1:30" ht="14.25" customHeight="1" x14ac:dyDescent="0.25">
      <c r="A7" s="5" t="s">
        <v>40</v>
      </c>
      <c r="B7" s="6" t="s">
        <v>41</v>
      </c>
      <c r="C7" s="7">
        <v>4089867.63</v>
      </c>
      <c r="D7" s="7">
        <v>4170445.57</v>
      </c>
      <c r="E7" s="7">
        <v>4259521.26</v>
      </c>
      <c r="F7" s="7">
        <v>4259521.26</v>
      </c>
      <c r="G7" s="8">
        <v>4220530.33</v>
      </c>
      <c r="H7" s="8">
        <v>4326044</v>
      </c>
      <c r="I7" s="8">
        <v>4434195</v>
      </c>
      <c r="J7" s="8">
        <v>4545050</v>
      </c>
      <c r="K7" s="8">
        <v>4658676</v>
      </c>
      <c r="L7" s="8">
        <v>4775143</v>
      </c>
      <c r="M7" s="8">
        <v>4894522</v>
      </c>
      <c r="N7" s="8">
        <v>5016885</v>
      </c>
      <c r="O7" s="8">
        <v>5142307</v>
      </c>
      <c r="P7" s="8">
        <v>5270865</v>
      </c>
      <c r="Q7" s="8">
        <v>5402637</v>
      </c>
      <c r="R7" s="8">
        <v>5537703</v>
      </c>
      <c r="S7" s="8">
        <v>5676146</v>
      </c>
      <c r="T7" s="8">
        <v>5818050</v>
      </c>
      <c r="U7" s="8">
        <v>5963501</v>
      </c>
      <c r="V7" s="8">
        <v>6112589</v>
      </c>
      <c r="W7" s="8">
        <v>6265404</v>
      </c>
      <c r="X7" s="8">
        <v>6422039</v>
      </c>
      <c r="Y7" s="8">
        <v>6582590</v>
      </c>
      <c r="Z7" s="8">
        <v>6747155</v>
      </c>
      <c r="AA7" s="8">
        <v>6915834</v>
      </c>
      <c r="AB7" s="8">
        <v>7088730</v>
      </c>
      <c r="AC7" s="8">
        <v>7265948</v>
      </c>
      <c r="AD7" s="8">
        <v>7265948</v>
      </c>
    </row>
    <row r="8" spans="1:30" ht="14.25" customHeight="1" x14ac:dyDescent="0.25">
      <c r="A8" s="5" t="s">
        <v>42</v>
      </c>
      <c r="B8" s="6" t="s">
        <v>43</v>
      </c>
      <c r="C8" s="7">
        <v>8784140</v>
      </c>
      <c r="D8" s="7">
        <v>8749698</v>
      </c>
      <c r="E8" s="7">
        <v>9359773</v>
      </c>
      <c r="F8" s="7">
        <v>9359773</v>
      </c>
      <c r="G8" s="8">
        <v>9927815</v>
      </c>
      <c r="H8" s="8">
        <v>10176010</v>
      </c>
      <c r="I8" s="8">
        <v>10430410</v>
      </c>
      <c r="J8" s="8">
        <v>10691170</v>
      </c>
      <c r="K8" s="8">
        <v>10958449</v>
      </c>
      <c r="L8" s="8">
        <v>11232410</v>
      </c>
      <c r="M8" s="8">
        <v>11513220</v>
      </c>
      <c r="N8" s="8">
        <v>11801050</v>
      </c>
      <c r="O8" s="8">
        <v>12096076</v>
      </c>
      <c r="P8" s="8">
        <v>12398478</v>
      </c>
      <c r="Q8" s="8">
        <v>12708440</v>
      </c>
      <c r="R8" s="8">
        <v>13026151</v>
      </c>
      <c r="S8" s="8">
        <v>13351805</v>
      </c>
      <c r="T8" s="8">
        <v>13685600</v>
      </c>
      <c r="U8" s="8">
        <v>14027740</v>
      </c>
      <c r="V8" s="8">
        <v>14378434</v>
      </c>
      <c r="W8" s="8">
        <v>14737895</v>
      </c>
      <c r="X8" s="8">
        <v>15106342</v>
      </c>
      <c r="Y8" s="8">
        <v>15484001</v>
      </c>
      <c r="Z8" s="8">
        <v>15871101</v>
      </c>
      <c r="AA8" s="8">
        <v>16267879</v>
      </c>
      <c r="AB8" s="8">
        <v>16674576</v>
      </c>
      <c r="AC8" s="8">
        <v>17091440</v>
      </c>
      <c r="AD8" s="8">
        <v>17091440</v>
      </c>
    </row>
    <row r="9" spans="1:30" ht="14.25" customHeight="1" x14ac:dyDescent="0.25">
      <c r="A9" s="5" t="s">
        <v>44</v>
      </c>
      <c r="B9" s="6" t="s">
        <v>45</v>
      </c>
      <c r="C9" s="7">
        <v>11492993.23</v>
      </c>
      <c r="D9" s="7">
        <v>12955536.98</v>
      </c>
      <c r="E9" s="7">
        <v>12930904.52</v>
      </c>
      <c r="F9" s="7">
        <v>13913035.27</v>
      </c>
      <c r="G9" s="8">
        <v>11798496.449999999</v>
      </c>
      <c r="H9" s="8">
        <v>12007825</v>
      </c>
      <c r="I9" s="8">
        <v>12308021</v>
      </c>
      <c r="J9" s="8">
        <v>12615722</v>
      </c>
      <c r="K9" s="8">
        <v>12931115</v>
      </c>
      <c r="L9" s="8">
        <v>13254393</v>
      </c>
      <c r="M9" s="8">
        <v>13585753</v>
      </c>
      <c r="N9" s="8">
        <v>13925397</v>
      </c>
      <c r="O9" s="8">
        <v>14273532</v>
      </c>
      <c r="P9" s="8">
        <v>14630370</v>
      </c>
      <c r="Q9" s="8">
        <v>14996129</v>
      </c>
      <c r="R9" s="8">
        <v>15371032</v>
      </c>
      <c r="S9" s="8">
        <v>15755308</v>
      </c>
      <c r="T9" s="8">
        <v>16149191</v>
      </c>
      <c r="U9" s="8">
        <v>16552921</v>
      </c>
      <c r="V9" s="8">
        <v>16966744</v>
      </c>
      <c r="W9" s="8">
        <v>17390913</v>
      </c>
      <c r="X9" s="8">
        <v>17825686</v>
      </c>
      <c r="Y9" s="8">
        <v>18271328</v>
      </c>
      <c r="Z9" s="8">
        <v>18728111</v>
      </c>
      <c r="AA9" s="8">
        <v>19196314</v>
      </c>
      <c r="AB9" s="8">
        <v>19676222</v>
      </c>
      <c r="AC9" s="8">
        <v>20168128</v>
      </c>
      <c r="AD9" s="8">
        <v>20168128</v>
      </c>
    </row>
    <row r="10" spans="1:30" hidden="1" x14ac:dyDescent="0.25">
      <c r="A10" s="5" t="s">
        <v>46</v>
      </c>
      <c r="B10" s="6" t="s">
        <v>47</v>
      </c>
      <c r="C10" s="7">
        <v>1134986.97</v>
      </c>
      <c r="D10" s="7">
        <v>1300324.6299999999</v>
      </c>
      <c r="E10" s="7">
        <v>4948209.71</v>
      </c>
      <c r="F10" s="7">
        <v>3997628.39</v>
      </c>
      <c r="G10" s="8">
        <v>5025906.13</v>
      </c>
      <c r="H10" s="8">
        <v>6794567.0300000003</v>
      </c>
      <c r="I10" s="8">
        <v>6694567.0300000003</v>
      </c>
      <c r="J10" s="8">
        <v>6594567.0300000003</v>
      </c>
      <c r="K10" s="8">
        <v>2513950</v>
      </c>
      <c r="L10" s="8">
        <v>1000000</v>
      </c>
      <c r="M10" s="8">
        <v>1000000</v>
      </c>
      <c r="N10" s="8">
        <v>1000000</v>
      </c>
      <c r="O10" s="8">
        <v>1000000</v>
      </c>
      <c r="P10" s="8">
        <v>1000000</v>
      </c>
      <c r="Q10" s="8">
        <v>1000000</v>
      </c>
      <c r="R10" s="8">
        <v>1000000</v>
      </c>
      <c r="S10" s="8">
        <v>1000000</v>
      </c>
      <c r="T10" s="8">
        <v>1000000</v>
      </c>
      <c r="U10" s="8">
        <v>1000000</v>
      </c>
      <c r="V10" s="8">
        <v>1000000</v>
      </c>
      <c r="W10" s="8">
        <v>1000000</v>
      </c>
      <c r="X10" s="8">
        <v>1000000</v>
      </c>
      <c r="Y10" s="8">
        <v>1000000</v>
      </c>
      <c r="Z10" s="8">
        <v>1000000</v>
      </c>
      <c r="AA10" s="8">
        <v>1000000</v>
      </c>
      <c r="AB10" s="8">
        <v>1000000</v>
      </c>
      <c r="AC10" s="8">
        <v>1000000</v>
      </c>
      <c r="AD10" s="8">
        <v>1000000</v>
      </c>
    </row>
    <row r="11" spans="1:30" ht="14.25" customHeight="1" x14ac:dyDescent="0.25">
      <c r="A11" s="2" t="s">
        <v>48</v>
      </c>
      <c r="B11" s="3" t="s">
        <v>49</v>
      </c>
      <c r="C11" s="4">
        <f>IF(ISNUMBER(VLOOKUP("1.2.1",A2:AD112,3,FALSE)),ROUND(VLOOKUP("1.2.1",A2:AD112,3,FALSE),4),0) + IF(ISNUMBER(VLOOKUP("1.2.2",A2:AD112,3,FALSE)),ROUND(VLOOKUP("1.2.2",A2:AD112,3,FALSE),4),0) + IF(ISNUMBER(VLOOKUP("1.2.x",A2:AD112,3,FALSE)),ROUND(VLOOKUP("1.2.x",A2:AD112,3,FALSE),4),0)</f>
        <v>3101482.29</v>
      </c>
      <c r="D11" s="4">
        <f>IF(ISNUMBER(VLOOKUP("1.2.1",A2:AD112,4,FALSE)),ROUND(VLOOKUP("1.2.1",A2:AD112,4,FALSE),4),0) + IF(ISNUMBER(VLOOKUP("1.2.2",A2:AD112,4,FALSE)),ROUND(VLOOKUP("1.2.2",A2:AD112,4,FALSE),4),0) + IF(ISNUMBER(VLOOKUP("1.2.x",A2:AD112,4,FALSE)),ROUND(VLOOKUP("1.2.x",A2:AD112,4,FALSE),4),0)</f>
        <v>5057223.0200000005</v>
      </c>
      <c r="E11" s="4">
        <f>IF(ISNUMBER(VLOOKUP("1.2.1",A2:AD112,5,FALSE)),ROUND(VLOOKUP("1.2.1",A2:AD112,5,FALSE),4),0) + IF(ISNUMBER(VLOOKUP("1.2.2",A2:AD112,5,FALSE)),ROUND(VLOOKUP("1.2.2",A2:AD112,5,FALSE),4),0) + IF(ISNUMBER(VLOOKUP("1.2.x",A2:AD112,5,FALSE)),ROUND(VLOOKUP("1.2.x",A2:AD112,5,FALSE),4),0)</f>
        <v>26006301.969999999</v>
      </c>
      <c r="F11" s="4">
        <f>IF(ISNUMBER(VLOOKUP("1.2.1",A2:AD112,6,FALSE)),ROUND(VLOOKUP("1.2.1",A2:AD112,6,FALSE),4),0) + IF(ISNUMBER(VLOOKUP("1.2.2",A2:AD112,6,FALSE)),ROUND(VLOOKUP("1.2.2",A2:AD112,6,FALSE),4),0) + IF(ISNUMBER(VLOOKUP("1.2.x",A2:AD112,6,FALSE)),ROUND(VLOOKUP("1.2.x",A2:AD112,6,FALSE),4),0)</f>
        <v>12598576.210000001</v>
      </c>
      <c r="G11" s="4">
        <f>IF(ISNUMBER(VLOOKUP("1.2.1",A2:AD112,7,FALSE)),ROUND(VLOOKUP("1.2.1",A2:AD112,7,FALSE),4),0) + IF(ISNUMBER(VLOOKUP("1.2.2",A2:AD112,7,FALSE)),ROUND(VLOOKUP("1.2.2",A2:AD112,7,FALSE),4),0) + IF(ISNUMBER(VLOOKUP("1.2.x",A2:AD112,7,FALSE)),ROUND(VLOOKUP("1.2.x",A2:AD112,7,FALSE),4),0)</f>
        <v>31970274.91</v>
      </c>
      <c r="H11" s="4">
        <f>IF(ISNUMBER(VLOOKUP("1.2.1",A2:AD112,8,FALSE)),ROUND(VLOOKUP("1.2.1",A2:AD112,8,FALSE),4),0) + IF(ISNUMBER(VLOOKUP("1.2.2",A2:AD112,8,FALSE)),ROUND(VLOOKUP("1.2.2",A2:AD112,8,FALSE),4),0) + IF(ISNUMBER(VLOOKUP("1.2.x",A2:AD112,8,FALSE)),ROUND(VLOOKUP("1.2.x",A2:AD112,8,FALSE),4),0)</f>
        <v>37517303.609999999</v>
      </c>
      <c r="I11" s="4">
        <f>IF(ISNUMBER(VLOOKUP("1.2.1",A2:AD112,9,FALSE)),ROUND(VLOOKUP("1.2.1",A2:AD112,9,FALSE),4),0) + IF(ISNUMBER(VLOOKUP("1.2.2",A2:AD112,9,FALSE)),ROUND(VLOOKUP("1.2.2",A2:AD112,9,FALSE),4),0) + IF(ISNUMBER(VLOOKUP("1.2.x",A2:AD112,9,FALSE)),ROUND(VLOOKUP("1.2.x",A2:AD112,9,FALSE),4),0)</f>
        <v>23389733.920000002</v>
      </c>
      <c r="J11" s="4">
        <f>IF(ISNUMBER(VLOOKUP("1.2.1",A2:AD112,10,FALSE)),ROUND(VLOOKUP("1.2.1",A2:AD112,10,FALSE),4),0) + IF(ISNUMBER(VLOOKUP("1.2.2",A2:AD112,10,FALSE)),ROUND(VLOOKUP("1.2.2",A2:AD112,10,FALSE),4),0) + IF(ISNUMBER(VLOOKUP("1.2.x",A2:AD112,10,FALSE)),ROUND(VLOOKUP("1.2.x",A2:AD112,10,FALSE),4),0)</f>
        <v>21437295.75</v>
      </c>
      <c r="K11" s="4">
        <f>IF(ISNUMBER(VLOOKUP("1.2.1",A2:AD112,11,FALSE)),ROUND(VLOOKUP("1.2.1",A2:AD112,11,FALSE),4),0) + IF(ISNUMBER(VLOOKUP("1.2.2",A2:AD112,11,FALSE)),ROUND(VLOOKUP("1.2.2",A2:AD112,11,FALSE),4),0) + IF(ISNUMBER(VLOOKUP("1.2.x",A2:AD112,11,FALSE)),ROUND(VLOOKUP("1.2.x",A2:AD112,11,FALSE),4),0)</f>
        <v>3050000</v>
      </c>
      <c r="L11" s="4">
        <f>IF(ISNUMBER(VLOOKUP("1.2.1",A2:AD112,12,FALSE)),ROUND(VLOOKUP("1.2.1",A2:AD112,12,FALSE),4),0) + IF(ISNUMBER(VLOOKUP("1.2.2",A2:AD112,12,FALSE)),ROUND(VLOOKUP("1.2.2",A2:AD112,12,FALSE),4),0) + IF(ISNUMBER(VLOOKUP("1.2.x",A2:AD112,12,FALSE)),ROUND(VLOOKUP("1.2.x",A2:AD112,12,FALSE),4),0)</f>
        <v>2850000</v>
      </c>
      <c r="M11" s="4">
        <f>IF(ISNUMBER(VLOOKUP("1.2.1",A2:AD112,13,FALSE)),ROUND(VLOOKUP("1.2.1",A2:AD112,13,FALSE),4),0) + IF(ISNUMBER(VLOOKUP("1.2.2",A2:AD112,13,FALSE)),ROUND(VLOOKUP("1.2.2",A2:AD112,13,FALSE),4),0) + IF(ISNUMBER(VLOOKUP("1.2.x",A2:AD112,13,FALSE)),ROUND(VLOOKUP("1.2.x",A2:AD112,13,FALSE),4),0)</f>
        <v>2850000</v>
      </c>
      <c r="N11" s="4">
        <f>IF(ISNUMBER(VLOOKUP("1.2.1",A2:AD112,14,FALSE)),ROUND(VLOOKUP("1.2.1",A2:AD112,14,FALSE),4),0) + IF(ISNUMBER(VLOOKUP("1.2.2",A2:AD112,14,FALSE)),ROUND(VLOOKUP("1.2.2",A2:AD112,14,FALSE),4),0) + IF(ISNUMBER(VLOOKUP("1.2.x",A2:AD112,14,FALSE)),ROUND(VLOOKUP("1.2.x",A2:AD112,14,FALSE),4),0)</f>
        <v>2850000</v>
      </c>
      <c r="O11" s="4">
        <f>IF(ISNUMBER(VLOOKUP("1.2.1",A2:AD112,15,FALSE)),ROUND(VLOOKUP("1.2.1",A2:AD112,15,FALSE),4),0) + IF(ISNUMBER(VLOOKUP("1.2.2",A2:AD112,15,FALSE)),ROUND(VLOOKUP("1.2.2",A2:AD112,15,FALSE),4),0) + IF(ISNUMBER(VLOOKUP("1.2.x",A2:AD112,15,FALSE)),ROUND(VLOOKUP("1.2.x",A2:AD112,15,FALSE),4),0)</f>
        <v>2850000</v>
      </c>
      <c r="P11" s="4">
        <f>IF(ISNUMBER(VLOOKUP("1.2.1",A2:AD112,16,FALSE)),ROUND(VLOOKUP("1.2.1",A2:AD112,16,FALSE),4),0) + IF(ISNUMBER(VLOOKUP("1.2.2",A2:AD112,16,FALSE)),ROUND(VLOOKUP("1.2.2",A2:AD112,16,FALSE),4),0) + IF(ISNUMBER(VLOOKUP("1.2.x",A2:AD112,16,FALSE)),ROUND(VLOOKUP("1.2.x",A2:AD112,16,FALSE),4),0)</f>
        <v>2500000</v>
      </c>
      <c r="Q11" s="4">
        <f>IF(ISNUMBER(VLOOKUP("1.2.1",A2:AD112,17,FALSE)),ROUND(VLOOKUP("1.2.1",A2:AD112,17,FALSE),4),0) + IF(ISNUMBER(VLOOKUP("1.2.2",A2:AD112,17,FALSE)),ROUND(VLOOKUP("1.2.2",A2:AD112,17,FALSE),4),0) + IF(ISNUMBER(VLOOKUP("1.2.x",A2:AD112,17,FALSE)),ROUND(VLOOKUP("1.2.x",A2:AD112,17,FALSE),4),0)</f>
        <v>2500000</v>
      </c>
      <c r="R11" s="4">
        <f>IF(ISNUMBER(VLOOKUP("1.2.1",A2:AD112,18,FALSE)),ROUND(VLOOKUP("1.2.1",A2:AD112,18,FALSE),4),0) + IF(ISNUMBER(VLOOKUP("1.2.2",A2:AD112,18,FALSE)),ROUND(VLOOKUP("1.2.2",A2:AD112,18,FALSE),4),0) + IF(ISNUMBER(VLOOKUP("1.2.x",A2:AD112,18,FALSE)),ROUND(VLOOKUP("1.2.x",A2:AD112,18,FALSE),4),0)</f>
        <v>2500000</v>
      </c>
      <c r="S11" s="4">
        <f>IF(ISNUMBER(VLOOKUP("1.2.1",A2:AD112,19,FALSE)),ROUND(VLOOKUP("1.2.1",A2:AD112,19,FALSE),4),0) + IF(ISNUMBER(VLOOKUP("1.2.2",A2:AD112,19,FALSE)),ROUND(VLOOKUP("1.2.2",A2:AD112,19,FALSE),4),0) + IF(ISNUMBER(VLOOKUP("1.2.x",A2:AD112,19,FALSE)),ROUND(VLOOKUP("1.2.x",A2:AD112,19,FALSE),4),0)</f>
        <v>2500000</v>
      </c>
      <c r="T11" s="4">
        <f>IF(ISNUMBER(VLOOKUP("1.2.1",A2:AD112,20,FALSE)),ROUND(VLOOKUP("1.2.1",A2:AD112,20,FALSE),4),0) + IF(ISNUMBER(VLOOKUP("1.2.2",A2:AD112,20,FALSE)),ROUND(VLOOKUP("1.2.2",A2:AD112,20,FALSE),4),0) + IF(ISNUMBER(VLOOKUP("1.2.x",A2:AD112,20,FALSE)),ROUND(VLOOKUP("1.2.x",A2:AD112,20,FALSE),4),0)</f>
        <v>2500000</v>
      </c>
      <c r="U11" s="4">
        <f>IF(ISNUMBER(VLOOKUP("1.2.1",A2:AD112,21,FALSE)),ROUND(VLOOKUP("1.2.1",A2:AD112,21,FALSE),4),0) + IF(ISNUMBER(VLOOKUP("1.2.2",A2:AD112,21,FALSE)),ROUND(VLOOKUP("1.2.2",A2:AD112,21,FALSE),4),0) + IF(ISNUMBER(VLOOKUP("1.2.x",A2:AD112,21,FALSE)),ROUND(VLOOKUP("1.2.x",A2:AD112,21,FALSE),4),0)</f>
        <v>2500000</v>
      </c>
      <c r="V11" s="4">
        <f>IF(ISNUMBER(VLOOKUP("1.2.1",A2:AD112,22,FALSE)),ROUND(VLOOKUP("1.2.1",A2:AD112,22,FALSE),4),0) + IF(ISNUMBER(VLOOKUP("1.2.2",A2:AD112,22,FALSE)),ROUND(VLOOKUP("1.2.2",A2:AD112,22,FALSE),4),0) + IF(ISNUMBER(VLOOKUP("1.2.x",A2:AD112,22,FALSE)),ROUND(VLOOKUP("1.2.x",A2:AD112,22,FALSE),4),0)</f>
        <v>2500000</v>
      </c>
      <c r="W11" s="4">
        <f>IF(ISNUMBER(VLOOKUP("1.2.1",A2:AD112,23,FALSE)),ROUND(VLOOKUP("1.2.1",A2:AD112,23,FALSE),4),0) + IF(ISNUMBER(VLOOKUP("1.2.2",A2:AD112,23,FALSE)),ROUND(VLOOKUP("1.2.2",A2:AD112,23,FALSE),4),0) + IF(ISNUMBER(VLOOKUP("1.2.x",A2:AD112,23,FALSE)),ROUND(VLOOKUP("1.2.x",A2:AD112,23,FALSE),4),0)</f>
        <v>2500000</v>
      </c>
      <c r="X11" s="4">
        <f>IF(ISNUMBER(VLOOKUP("1.2.1",A2:AD112,24,FALSE)),ROUND(VLOOKUP("1.2.1",A2:AD112,24,FALSE),4),0) + IF(ISNUMBER(VLOOKUP("1.2.2",A2:AD112,24,FALSE)),ROUND(VLOOKUP("1.2.2",A2:AD112,24,FALSE),4),0) + IF(ISNUMBER(VLOOKUP("1.2.x",A2:AD112,24,FALSE)),ROUND(VLOOKUP("1.2.x",A2:AD112,24,FALSE),4),0)</f>
        <v>2500000</v>
      </c>
      <c r="Y11" s="4">
        <f>IF(ISNUMBER(VLOOKUP("1.2.1",A2:AD112,25,FALSE)),ROUND(VLOOKUP("1.2.1",A2:AD112,25,FALSE),4),0) + IF(ISNUMBER(VLOOKUP("1.2.2",A2:AD112,25,FALSE)),ROUND(VLOOKUP("1.2.2",A2:AD112,25,FALSE),4),0) + IF(ISNUMBER(VLOOKUP("1.2.x",A2:AD112,25,FALSE)),ROUND(VLOOKUP("1.2.x",A2:AD112,25,FALSE),4),0)</f>
        <v>2500000</v>
      </c>
      <c r="Z11" s="4">
        <f>IF(ISNUMBER(VLOOKUP("1.2.1",A2:AD112,26,FALSE)),ROUND(VLOOKUP("1.2.1",A2:AD112,26,FALSE),4),0) + IF(ISNUMBER(VLOOKUP("1.2.2",A2:AD112,26,FALSE)),ROUND(VLOOKUP("1.2.2",A2:AD112,26,FALSE),4),0) + IF(ISNUMBER(VLOOKUP("1.2.x",A2:AD112,26,FALSE)),ROUND(VLOOKUP("1.2.x",A2:AD112,26,FALSE),4),0)</f>
        <v>2500000</v>
      </c>
      <c r="AA11" s="4">
        <f>IF(ISNUMBER(VLOOKUP("1.2.1",A2:AD112,27,FALSE)),ROUND(VLOOKUP("1.2.1",A2:AD112,27,FALSE),4),0) + IF(ISNUMBER(VLOOKUP("1.2.2",A2:AD112,27,FALSE)),ROUND(VLOOKUP("1.2.2",A2:AD112,27,FALSE),4),0) + IF(ISNUMBER(VLOOKUP("1.2.x",A2:AD112,27,FALSE)),ROUND(VLOOKUP("1.2.x",A2:AD112,27,FALSE),4),0)</f>
        <v>2500000</v>
      </c>
      <c r="AB11" s="4">
        <f>IF(ISNUMBER(VLOOKUP("1.2.1",A2:AD112,28,FALSE)),ROUND(VLOOKUP("1.2.1",A2:AD112,28,FALSE),4),0) + IF(ISNUMBER(VLOOKUP("1.2.2",A2:AD112,28,FALSE)),ROUND(VLOOKUP("1.2.2",A2:AD112,28,FALSE),4),0) + IF(ISNUMBER(VLOOKUP("1.2.x",A2:AD112,28,FALSE)),ROUND(VLOOKUP("1.2.x",A2:AD112,28,FALSE),4),0)</f>
        <v>2500000</v>
      </c>
      <c r="AC11" s="4">
        <f>IF(ISNUMBER(VLOOKUP("1.2.1",A2:AD112,29,FALSE)),ROUND(VLOOKUP("1.2.1",A2:AD112,29,FALSE),4),0) + IF(ISNUMBER(VLOOKUP("1.2.2",A2:AD112,29,FALSE)),ROUND(VLOOKUP("1.2.2",A2:AD112,29,FALSE),4),0) + IF(ISNUMBER(VLOOKUP("1.2.x",A2:AD112,29,FALSE)),ROUND(VLOOKUP("1.2.x",A2:AD112,29,FALSE),4),0)</f>
        <v>2500000</v>
      </c>
      <c r="AD11" s="4">
        <f>IF(ISNUMBER(VLOOKUP("1.2.1",A2:AD112,30,FALSE)),ROUND(VLOOKUP("1.2.1",A2:AD112,30,FALSE),4),0) + IF(ISNUMBER(VLOOKUP("1.2.2",A2:AD112,30,FALSE)),ROUND(VLOOKUP("1.2.2",A2:AD112,30,FALSE),4),0) + IF(ISNUMBER(VLOOKUP("1.2.x",A2:AD112,30,FALSE)),ROUND(VLOOKUP("1.2.x",A2:AD112,30,FALSE),4),0)</f>
        <v>0</v>
      </c>
    </row>
    <row r="12" spans="1:30" ht="14.25" customHeight="1" x14ac:dyDescent="0.25">
      <c r="A12" s="5" t="s">
        <v>50</v>
      </c>
      <c r="B12" s="6" t="s">
        <v>51</v>
      </c>
      <c r="C12" s="7">
        <v>291173.84999999998</v>
      </c>
      <c r="D12" s="7">
        <v>186497.29</v>
      </c>
      <c r="E12" s="7">
        <v>350000</v>
      </c>
      <c r="F12" s="7">
        <v>163291.91</v>
      </c>
      <c r="G12" s="8">
        <v>226200</v>
      </c>
      <c r="H12" s="8">
        <v>350000</v>
      </c>
      <c r="I12" s="8">
        <v>350000</v>
      </c>
      <c r="J12" s="8">
        <v>350000</v>
      </c>
      <c r="K12" s="8">
        <v>350000</v>
      </c>
      <c r="L12" s="8">
        <v>350000</v>
      </c>
      <c r="M12" s="8">
        <v>350000</v>
      </c>
      <c r="N12" s="8">
        <v>350000</v>
      </c>
      <c r="O12" s="8">
        <v>350000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</row>
    <row r="13" spans="1:30" ht="14.25" customHeight="1" x14ac:dyDescent="0.25">
      <c r="A13" s="5" t="s">
        <v>52</v>
      </c>
      <c r="B13" s="6" t="s">
        <v>53</v>
      </c>
      <c r="C13" s="7">
        <v>2632141.08</v>
      </c>
      <c r="D13" s="7">
        <v>4861125.7300000004</v>
      </c>
      <c r="E13" s="7">
        <v>25656301.969999999</v>
      </c>
      <c r="F13" s="7">
        <v>12435284.300000001</v>
      </c>
      <c r="G13" s="8">
        <v>31742885.91</v>
      </c>
      <c r="H13" s="8">
        <v>37167303.609999999</v>
      </c>
      <c r="I13" s="8">
        <v>23039733.920000002</v>
      </c>
      <c r="J13" s="8">
        <v>21087295.75</v>
      </c>
      <c r="K13" s="8">
        <v>2700000</v>
      </c>
      <c r="L13" s="8">
        <v>2500000</v>
      </c>
      <c r="M13" s="8">
        <v>2500000</v>
      </c>
      <c r="N13" s="8">
        <v>2500000</v>
      </c>
      <c r="O13" s="8">
        <v>2500000</v>
      </c>
      <c r="P13" s="8">
        <v>2500000</v>
      </c>
      <c r="Q13" s="8">
        <v>2500000</v>
      </c>
      <c r="R13" s="8">
        <v>2500000</v>
      </c>
      <c r="S13" s="8">
        <v>2500000</v>
      </c>
      <c r="T13" s="8">
        <v>2500000</v>
      </c>
      <c r="U13" s="8">
        <v>2500000</v>
      </c>
      <c r="V13" s="8">
        <v>2500000</v>
      </c>
      <c r="W13" s="8">
        <v>2500000</v>
      </c>
      <c r="X13" s="8">
        <v>2500000</v>
      </c>
      <c r="Y13" s="8">
        <v>2500000</v>
      </c>
      <c r="Z13" s="8">
        <v>2500000</v>
      </c>
      <c r="AA13" s="8">
        <v>2500000</v>
      </c>
      <c r="AB13" s="8">
        <v>2500000</v>
      </c>
      <c r="AC13" s="8">
        <v>2500000</v>
      </c>
      <c r="AD13" s="8">
        <v>0</v>
      </c>
    </row>
    <row r="14" spans="1:30" hidden="1" x14ac:dyDescent="0.25">
      <c r="A14" s="5" t="s">
        <v>54</v>
      </c>
      <c r="B14" s="6" t="s">
        <v>47</v>
      </c>
      <c r="C14" s="7">
        <v>178167.36</v>
      </c>
      <c r="D14" s="7">
        <v>9600</v>
      </c>
      <c r="E14" s="7">
        <v>0</v>
      </c>
      <c r="F14" s="7">
        <v>0</v>
      </c>
      <c r="G14" s="8">
        <v>1189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</row>
    <row r="15" spans="1:30" ht="14.25" customHeight="1" x14ac:dyDescent="0.25">
      <c r="A15" s="2" t="s">
        <v>55</v>
      </c>
      <c r="B15" s="3" t="s">
        <v>56</v>
      </c>
      <c r="C15" s="4">
        <f>IF(ISNUMBER(VLOOKUP("2.1",A2:AD112,3,FALSE)),ROUND(VLOOKUP("2.1",A2:AD112,3,FALSE),4),0) + IF(ISNUMBER(VLOOKUP("2.2",A2:AD112,3,FALSE)),ROUND(VLOOKUP("2.2",A2:AD112,3,FALSE),4),0)</f>
        <v>41547822.93</v>
      </c>
      <c r="D15" s="4">
        <f>IF(ISNUMBER(VLOOKUP("2.1",A2:AD112,4,FALSE)),ROUND(VLOOKUP("2.1",A2:AD112,4,FALSE),4),0) + IF(ISNUMBER(VLOOKUP("2.2",A2:AD112,4,FALSE)),ROUND(VLOOKUP("2.2",A2:AD112,4,FALSE),4),0)</f>
        <v>45762040.739999995</v>
      </c>
      <c r="E15" s="4">
        <f>IF(ISNUMBER(VLOOKUP("2.1",A2:AD112,5,FALSE)),ROUND(VLOOKUP("2.1",A2:AD112,5,FALSE),4),0) + IF(ISNUMBER(VLOOKUP("2.2",A2:AD112,5,FALSE)),ROUND(VLOOKUP("2.2",A2:AD112,5,FALSE),4),0)</f>
        <v>81573889.139999986</v>
      </c>
      <c r="F15" s="4">
        <f>IF(ISNUMBER(VLOOKUP("2.1",A2:AD112,6,FALSE)),ROUND(VLOOKUP("2.1",A2:AD112,6,FALSE),4),0) + IF(ISNUMBER(VLOOKUP("2.2",A2:AD112,6,FALSE)),ROUND(VLOOKUP("2.2",A2:AD112,6,FALSE),4),0)</f>
        <v>65630646.700000003</v>
      </c>
      <c r="G15" s="4">
        <f>IF(ISNUMBER(VLOOKUP("2.1",A2:AD112,7,FALSE)),ROUND(VLOOKUP("2.1",A2:AD112,7,FALSE),4),0) + IF(ISNUMBER(VLOOKUP("2.2",A2:AD112,7,FALSE)),ROUND(VLOOKUP("2.2",A2:AD112,7,FALSE),4),0)</f>
        <v>84020701.159999996</v>
      </c>
      <c r="H15" s="4">
        <f>IF(ISNUMBER(VLOOKUP("2.1",A2:AD112,8,FALSE)),ROUND(VLOOKUP("2.1",A2:AD112,8,FALSE),4),0) + IF(ISNUMBER(VLOOKUP("2.2",A2:AD112,8,FALSE)),ROUND(VLOOKUP("2.2",A2:AD112,8,FALSE),4),0)</f>
        <v>96305442.129999995</v>
      </c>
      <c r="I15" s="4">
        <f>IF(ISNUMBER(VLOOKUP("2.1",A2:AD112,9,FALSE)),ROUND(VLOOKUP("2.1",A2:AD112,9,FALSE),4),0) + IF(ISNUMBER(VLOOKUP("2.2",A2:AD112,9,FALSE)),ROUND(VLOOKUP("2.2",A2:AD112,9,FALSE),4),0)</f>
        <v>80255765.979999989</v>
      </c>
      <c r="J15" s="4">
        <f>IF(ISNUMBER(VLOOKUP("2.1",A2:AD112,10,FALSE)),ROUND(VLOOKUP("2.1",A2:AD112,10,FALSE),4),0) + IF(ISNUMBER(VLOOKUP("2.2",A2:AD112,10,FALSE)),ROUND(VLOOKUP("2.2",A2:AD112,10,FALSE),4),0)</f>
        <v>77848233.090000004</v>
      </c>
      <c r="K15" s="4">
        <f>IF(ISNUMBER(VLOOKUP("2.1",A2:AD112,11,FALSE)),ROUND(VLOOKUP("2.1",A2:AD112,11,FALSE),4),0) + IF(ISNUMBER(VLOOKUP("2.2",A2:AD112,11,FALSE)),ROUND(VLOOKUP("2.2",A2:AD112,11,FALSE),4),0)</f>
        <v>46043611.539999999</v>
      </c>
      <c r="L15" s="4">
        <f>IF(ISNUMBER(VLOOKUP("2.1",A2:AD112,12,FALSE)),ROUND(VLOOKUP("2.1",A2:AD112,12,FALSE),4),0) + IF(ISNUMBER(VLOOKUP("2.2",A2:AD112,12,FALSE)),ROUND(VLOOKUP("2.2",A2:AD112,12,FALSE),4),0)</f>
        <v>44736179</v>
      </c>
      <c r="M15" s="4">
        <f>IF(ISNUMBER(VLOOKUP("2.1",A2:AD112,13,FALSE)),ROUND(VLOOKUP("2.1",A2:AD112,13,FALSE),4),0) + IF(ISNUMBER(VLOOKUP("2.2",A2:AD112,13,FALSE)),ROUND(VLOOKUP("2.2",A2:AD112,13,FALSE),4),0)</f>
        <v>44753205</v>
      </c>
      <c r="N15" s="4">
        <f>IF(ISNUMBER(VLOOKUP("2.1",A2:AD112,14,FALSE)),ROUND(VLOOKUP("2.1",A2:AD112,14,FALSE),4),0) + IF(ISNUMBER(VLOOKUP("2.2",A2:AD112,14,FALSE)),ROUND(VLOOKUP("2.2",A2:AD112,14,FALSE),4),0)</f>
        <v>45659621</v>
      </c>
      <c r="O15" s="4">
        <f>IF(ISNUMBER(VLOOKUP("2.1",A2:AD112,15,FALSE)),ROUND(VLOOKUP("2.1",A2:AD112,15,FALSE),4),0) + IF(ISNUMBER(VLOOKUP("2.2",A2:AD112,15,FALSE)),ROUND(VLOOKUP("2.2",A2:AD112,15,FALSE),4),0)</f>
        <v>46706931</v>
      </c>
      <c r="P15" s="4">
        <f>IF(ISNUMBER(VLOOKUP("2.1",A2:AD112,16,FALSE)),ROUND(VLOOKUP("2.1",A2:AD112,16,FALSE),4),0) + IF(ISNUMBER(VLOOKUP("2.2",A2:AD112,16,FALSE)),ROUND(VLOOKUP("2.2",A2:AD112,16,FALSE),4),0)</f>
        <v>47457500.5</v>
      </c>
      <c r="Q15" s="4">
        <f>IF(ISNUMBER(VLOOKUP("2.1",A2:AD112,17,FALSE)),ROUND(VLOOKUP("2.1",A2:AD112,17,FALSE),4),0) + IF(ISNUMBER(VLOOKUP("2.2",A2:AD112,17,FALSE)),ROUND(VLOOKUP("2.2",A2:AD112,17,FALSE),4),0)</f>
        <v>46985235.130000003</v>
      </c>
      <c r="R15" s="4">
        <f>IF(ISNUMBER(VLOOKUP("2.1",A2:AD112,18,FALSE)),ROUND(VLOOKUP("2.1",A2:AD112,18,FALSE),4),0) + IF(ISNUMBER(VLOOKUP("2.2",A2:AD112,18,FALSE)),ROUND(VLOOKUP("2.2",A2:AD112,18,FALSE),4),0)</f>
        <v>49276612</v>
      </c>
      <c r="S15" s="4">
        <f>IF(ISNUMBER(VLOOKUP("2.1",A2:AD112,19,FALSE)),ROUND(VLOOKUP("2.1",A2:AD112,19,FALSE),4),0) + IF(ISNUMBER(VLOOKUP("2.2",A2:AD112,19,FALSE)),ROUND(VLOOKUP("2.2",A2:AD112,19,FALSE),4),0)</f>
        <v>51069901.969999999</v>
      </c>
      <c r="T15" s="4">
        <f>IF(ISNUMBER(VLOOKUP("2.1",A2:AD112,20,FALSE)),ROUND(VLOOKUP("2.1",A2:AD112,20,FALSE),4),0) + IF(ISNUMBER(VLOOKUP("2.2",A2:AD112,20,FALSE)),ROUND(VLOOKUP("2.2",A2:AD112,20,FALSE),4),0)</f>
        <v>52771103</v>
      </c>
      <c r="U15" s="4">
        <f>IF(ISNUMBER(VLOOKUP("2.1",A2:AD112,21,FALSE)),ROUND(VLOOKUP("2.1",A2:AD112,21,FALSE),4),0) + IF(ISNUMBER(VLOOKUP("2.2",A2:AD112,21,FALSE)),ROUND(VLOOKUP("2.2",A2:AD112,21,FALSE),4),0)</f>
        <v>54030631</v>
      </c>
      <c r="V15" s="4">
        <f>IF(ISNUMBER(VLOOKUP("2.1",A2:AD112,22,FALSE)),ROUND(VLOOKUP("2.1",A2:AD112,22,FALSE),4),0) + IF(ISNUMBER(VLOOKUP("2.2",A2:AD112,22,FALSE)),ROUND(VLOOKUP("2.2",A2:AD112,22,FALSE),4),0)</f>
        <v>55965422</v>
      </c>
      <c r="W15" s="4">
        <f>IF(ISNUMBER(VLOOKUP("2.1",A2:AD112,23,FALSE)),ROUND(VLOOKUP("2.1",A2:AD112,23,FALSE),4),0) + IF(ISNUMBER(VLOOKUP("2.2",A2:AD112,23,FALSE)),ROUND(VLOOKUP("2.2",A2:AD112,23,FALSE),4),0)</f>
        <v>57740755.509999998</v>
      </c>
      <c r="X15" s="4">
        <f>IF(ISNUMBER(VLOOKUP("2.1",A2:AD112,24,FALSE)),ROUND(VLOOKUP("2.1",A2:AD112,24,FALSE),4),0) + IF(ISNUMBER(VLOOKUP("2.2",A2:AD112,24,FALSE)),ROUND(VLOOKUP("2.2",A2:AD112,24,FALSE),4),0)</f>
        <v>60046142</v>
      </c>
      <c r="Y15" s="4">
        <f>IF(ISNUMBER(VLOOKUP("2.1",A2:AD112,25,FALSE)),ROUND(VLOOKUP("2.1",A2:AD112,25,FALSE),4),0) + IF(ISNUMBER(VLOOKUP("2.2",A2:AD112,25,FALSE)),ROUND(VLOOKUP("2.2",A2:AD112,25,FALSE),4),0)</f>
        <v>61514796</v>
      </c>
      <c r="Z15" s="4">
        <f>IF(ISNUMBER(VLOOKUP("2.1",A2:AD112,26,FALSE)),ROUND(VLOOKUP("2.1",A2:AD112,26,FALSE),4),0) + IF(ISNUMBER(VLOOKUP("2.2",A2:AD112,26,FALSE)),ROUND(VLOOKUP("2.2",A2:AD112,26,FALSE),4),0)</f>
        <v>63020166</v>
      </c>
      <c r="AA15" s="4">
        <f>IF(ISNUMBER(VLOOKUP("2.1",A2:AD112,27,FALSE)),ROUND(VLOOKUP("2.1",A2:AD112,27,FALSE),4),0) + IF(ISNUMBER(VLOOKUP("2.2",A2:AD112,27,FALSE)),ROUND(VLOOKUP("2.2",A2:AD112,27,FALSE),4),0)</f>
        <v>64363170</v>
      </c>
      <c r="AB15" s="4">
        <f>IF(ISNUMBER(VLOOKUP("2.1",A2:AD112,28,FALSE)),ROUND(VLOOKUP("2.1",A2:AD112,28,FALSE),4),0) + IF(ISNUMBER(VLOOKUP("2.2",A2:AD112,28,FALSE)),ROUND(VLOOKUP("2.2",A2:AD112,28,FALSE),4),0)</f>
        <v>65894750</v>
      </c>
      <c r="AC15" s="4">
        <f>IF(ISNUMBER(VLOOKUP("2.1",A2:AD112,29,FALSE)),ROUND(VLOOKUP("2.1",A2:AD112,29,FALSE),4),0) + IF(ISNUMBER(VLOOKUP("2.2",A2:AD112,29,FALSE)),ROUND(VLOOKUP("2.2",A2:AD112,29,FALSE),4),0)</f>
        <v>67365869</v>
      </c>
      <c r="AD15" s="4">
        <f>IF(ISNUMBER(VLOOKUP("2.1",A2:AD112,30,FALSE)),ROUND(VLOOKUP("2.1",A2:AD112,30,FALSE),4),0) + IF(ISNUMBER(VLOOKUP("2.2",A2:AD112,30,FALSE)),ROUND(VLOOKUP("2.2",A2:AD112,30,FALSE),4),0)</f>
        <v>65490869</v>
      </c>
    </row>
    <row r="16" spans="1:30" ht="14.25" customHeight="1" x14ac:dyDescent="0.25">
      <c r="A16" s="2" t="s">
        <v>57</v>
      </c>
      <c r="B16" s="3" t="s">
        <v>58</v>
      </c>
      <c r="C16" s="4">
        <f>IF(ISNUMBER(VLOOKUP("2.1.1",A2:AD112,3,FALSE)),ROUND(VLOOKUP("2.1.1",A2:AD112,3,FALSE),4),0) + IF(ISNUMBER(VLOOKUP("2.1.3",A2:AD112,3,FALSE)),ROUND(VLOOKUP("2.1.3",A2:AD112,3,FALSE),4),0) + IF(ISNUMBER(VLOOKUP("2.1.x",A2:AD112,3,FALSE)),ROUND(VLOOKUP("2.1.x",A2:AD112,3,FALSE),4),0) + IF(ISNUMBER(VLOOKUP("11.1",A2:AD112,3,FALSE)),ROUND(VLOOKUP("11.1",A2:AD112,3,FALSE),4),0)</f>
        <v>32310749.289999999</v>
      </c>
      <c r="D16" s="4">
        <f>IF(ISNUMBER(VLOOKUP("2.1.1",A2:AD112,4,FALSE)),ROUND(VLOOKUP("2.1.1",A2:AD112,4,FALSE),4),0) + IF(ISNUMBER(VLOOKUP("2.1.3",A2:AD112,4,FALSE)),ROUND(VLOOKUP("2.1.3",A2:AD112,4,FALSE),4),0) + IF(ISNUMBER(VLOOKUP("2.1.x",A2:AD112,4,FALSE)),ROUND(VLOOKUP("2.1.x",A2:AD112,4,FALSE),4),0) + IF(ISNUMBER(VLOOKUP("11.1",A2:AD112,4,FALSE)),ROUND(VLOOKUP("11.1",A2:AD112,4,FALSE),4),0)</f>
        <v>35115448.219999999</v>
      </c>
      <c r="E16" s="4">
        <f>IF(ISNUMBER(VLOOKUP("2.1.1",A2:AD112,5,FALSE)),ROUND(VLOOKUP("2.1.1",A2:AD112,5,FALSE),4),0) + IF(ISNUMBER(VLOOKUP("2.1.3",A2:AD112,5,FALSE)),ROUND(VLOOKUP("2.1.3",A2:AD112,5,FALSE),4),0) + IF(ISNUMBER(VLOOKUP("2.1.x",A2:AD112,5,FALSE)),ROUND(VLOOKUP("2.1.x",A2:AD112,5,FALSE),4),0) + IF(ISNUMBER(VLOOKUP("11.1",A2:AD112,5,FALSE)),ROUND(VLOOKUP("11.1",A2:AD112,5,FALSE),4),0)</f>
        <v>37223905.480000004</v>
      </c>
      <c r="F16" s="4">
        <f>IF(ISNUMBER(VLOOKUP("2.1.1",A2:AD112,6,FALSE)),ROUND(VLOOKUP("2.1.1",A2:AD112,6,FALSE),4),0) + IF(ISNUMBER(VLOOKUP("2.1.3",A2:AD112,6,FALSE)),ROUND(VLOOKUP("2.1.3",A2:AD112,6,FALSE),4),0) + IF(ISNUMBER(VLOOKUP("2.1.x",A2:AD112,6,FALSE)),ROUND(VLOOKUP("2.1.x",A2:AD112,6,FALSE),4),0) + IF(ISNUMBER(VLOOKUP("11.1",A2:AD112,6,FALSE)),ROUND(VLOOKUP("11.1",A2:AD112,6,FALSE),4),0)</f>
        <v>38318308.009999998</v>
      </c>
      <c r="G16" s="4">
        <f>IF(ISNUMBER(VLOOKUP("2.1.1",A2:AD112,7,FALSE)),ROUND(VLOOKUP("2.1.1",A2:AD112,7,FALSE),4),0) + IF(ISNUMBER(VLOOKUP("2.1.3",A2:AD112,7,FALSE)),ROUND(VLOOKUP("2.1.3",A2:AD112,7,FALSE),4),0) + IF(ISNUMBER(VLOOKUP("2.1.x",A2:AD112,7,FALSE)),ROUND(VLOOKUP("2.1.x",A2:AD112,7,FALSE),4),0) + IF(ISNUMBER(VLOOKUP("11.1",A2:AD112,7,FALSE)),ROUND(VLOOKUP("11.1",A2:AD112,7,FALSE),4),0)</f>
        <v>37896409.789999999</v>
      </c>
      <c r="H16" s="4">
        <f>IF(ISNUMBER(VLOOKUP("2.1.1",A2:AD112,8,FALSE)),ROUND(VLOOKUP("2.1.1",A2:AD112,8,FALSE),4),0) + IF(ISNUMBER(VLOOKUP("2.1.3",A2:AD112,8,FALSE)),ROUND(VLOOKUP("2.1.3",A2:AD112,8,FALSE),4),0) + IF(ISNUMBER(VLOOKUP("2.1.x",A2:AD112,8,FALSE)),ROUND(VLOOKUP("2.1.x",A2:AD112,8,FALSE),4),0) + IF(ISNUMBER(VLOOKUP("11.1",A2:AD112,8,FALSE)),ROUND(VLOOKUP("11.1",A2:AD112,8,FALSE),4),0)</f>
        <v>37148392</v>
      </c>
      <c r="I16" s="4">
        <f>IF(ISNUMBER(VLOOKUP("2.1.1",A2:AD112,9,FALSE)),ROUND(VLOOKUP("2.1.1",A2:AD112,9,FALSE),4),0) + IF(ISNUMBER(VLOOKUP("2.1.3",A2:AD112,9,FALSE)),ROUND(VLOOKUP("2.1.3",A2:AD112,9,FALSE),4),0) + IF(ISNUMBER(VLOOKUP("2.1.x",A2:AD112,9,FALSE)),ROUND(VLOOKUP("2.1.x",A2:AD112,9,FALSE),4),0) + IF(ISNUMBER(VLOOKUP("11.1",A2:AD112,9,FALSE)),ROUND(VLOOKUP("11.1",A2:AD112,9,FALSE),4),0)</f>
        <v>38066660</v>
      </c>
      <c r="J16" s="4">
        <f>IF(ISNUMBER(VLOOKUP("2.1.1",A2:AD112,10,FALSE)),ROUND(VLOOKUP("2.1.1",A2:AD112,10,FALSE),4),0) + IF(ISNUMBER(VLOOKUP("2.1.3",A2:AD112,10,FALSE)),ROUND(VLOOKUP("2.1.3",A2:AD112,10,FALSE),4),0) + IF(ISNUMBER(VLOOKUP("2.1.x",A2:AD112,10,FALSE)),ROUND(VLOOKUP("2.1.x",A2:AD112,10,FALSE),4),0) + IF(ISNUMBER(VLOOKUP("11.1",A2:AD112,10,FALSE)),ROUND(VLOOKUP("11.1",A2:AD112,10,FALSE),4),0)</f>
        <v>38879110</v>
      </c>
      <c r="K16" s="4">
        <f>IF(ISNUMBER(VLOOKUP("2.1.1",A2:AD112,11,FALSE)),ROUND(VLOOKUP("2.1.1",A2:AD112,11,FALSE),4),0) + IF(ISNUMBER(VLOOKUP("2.1.3",A2:AD112,11,FALSE)),ROUND(VLOOKUP("2.1.3",A2:AD112,11,FALSE),4),0) + IF(ISNUMBER(VLOOKUP("2.1.x",A2:AD112,11,FALSE)),ROUND(VLOOKUP("2.1.x",A2:AD112,11,FALSE),4),0) + IF(ISNUMBER(VLOOKUP("11.1",A2:AD112,11,FALSE)),ROUND(VLOOKUP("11.1",A2:AD112,11,FALSE),4),0)</f>
        <v>39560835</v>
      </c>
      <c r="L16" s="4">
        <f>IF(ISNUMBER(VLOOKUP("2.1.1",A2:AD112,12,FALSE)),ROUND(VLOOKUP("2.1.1",A2:AD112,12,FALSE),4),0) + IF(ISNUMBER(VLOOKUP("2.1.3",A2:AD112,12,FALSE)),ROUND(VLOOKUP("2.1.3",A2:AD112,12,FALSE),4),0) + IF(ISNUMBER(VLOOKUP("2.1.x",A2:AD112,12,FALSE)),ROUND(VLOOKUP("2.1.x",A2:AD112,12,FALSE),4),0) + IF(ISNUMBER(VLOOKUP("11.1",A2:AD112,12,FALSE)),ROUND(VLOOKUP("11.1",A2:AD112,12,FALSE),4),0)</f>
        <v>40158890</v>
      </c>
      <c r="M16" s="4">
        <f>IF(ISNUMBER(VLOOKUP("2.1.1",A2:AD112,13,FALSE)),ROUND(VLOOKUP("2.1.1",A2:AD112,13,FALSE),4),0) + IF(ISNUMBER(VLOOKUP("2.1.3",A2:AD112,13,FALSE)),ROUND(VLOOKUP("2.1.3",A2:AD112,13,FALSE),4),0) + IF(ISNUMBER(VLOOKUP("2.1.x",A2:AD112,13,FALSE)),ROUND(VLOOKUP("2.1.x",A2:AD112,13,FALSE),4),0) + IF(ISNUMBER(VLOOKUP("11.1",A2:AD112,13,FALSE)),ROUND(VLOOKUP("11.1",A2:AD112,13,FALSE),4),0)</f>
        <v>40697601</v>
      </c>
      <c r="N16" s="4">
        <f>IF(ISNUMBER(VLOOKUP("2.1.1",A2:AD112,14,FALSE)),ROUND(VLOOKUP("2.1.1",A2:AD112,14,FALSE),4),0) + IF(ISNUMBER(VLOOKUP("2.1.3",A2:AD112,14,FALSE)),ROUND(VLOOKUP("2.1.3",A2:AD112,14,FALSE),4),0) + IF(ISNUMBER(VLOOKUP("2.1.x",A2:AD112,14,FALSE)),ROUND(VLOOKUP("2.1.x",A2:AD112,14,FALSE),4),0) + IF(ISNUMBER(VLOOKUP("11.1",A2:AD112,14,FALSE)),ROUND(VLOOKUP("11.1",A2:AD112,14,FALSE),4),0)</f>
        <v>41226275</v>
      </c>
      <c r="O16" s="4">
        <f>IF(ISNUMBER(VLOOKUP("2.1.1",A2:AD112,15,FALSE)),ROUND(VLOOKUP("2.1.1",A2:AD112,15,FALSE),4),0) + IF(ISNUMBER(VLOOKUP("2.1.3",A2:AD112,15,FALSE)),ROUND(VLOOKUP("2.1.3",A2:AD112,15,FALSE),4),0) + IF(ISNUMBER(VLOOKUP("2.1.x",A2:AD112,15,FALSE)),ROUND(VLOOKUP("2.1.x",A2:AD112,15,FALSE),4),0) + IF(ISNUMBER(VLOOKUP("11.1",A2:AD112,15,FALSE)),ROUND(VLOOKUP("11.1",A2:AD112,15,FALSE),4),0)</f>
        <v>41762658</v>
      </c>
      <c r="P16" s="4">
        <f>IF(ISNUMBER(VLOOKUP("2.1.1",A2:AD112,16,FALSE)),ROUND(VLOOKUP("2.1.1",A2:AD112,16,FALSE),4),0) + IF(ISNUMBER(VLOOKUP("2.1.3",A2:AD112,16,FALSE)),ROUND(VLOOKUP("2.1.3",A2:AD112,16,FALSE),4),0) + IF(ISNUMBER(VLOOKUP("2.1.x",A2:AD112,16,FALSE)),ROUND(VLOOKUP("2.1.x",A2:AD112,16,FALSE),4),0) + IF(ISNUMBER(VLOOKUP("11.1",A2:AD112,16,FALSE)),ROUND(VLOOKUP("11.1",A2:AD112,16,FALSE),4),0)</f>
        <v>42308703</v>
      </c>
      <c r="Q16" s="4">
        <f>IF(ISNUMBER(VLOOKUP("2.1.1",A2:AD112,17,FALSE)),ROUND(VLOOKUP("2.1.1",A2:AD112,17,FALSE),4),0) + IF(ISNUMBER(VLOOKUP("2.1.3",A2:AD112,17,FALSE)),ROUND(VLOOKUP("2.1.3",A2:AD112,17,FALSE),4),0) + IF(ISNUMBER(VLOOKUP("2.1.x",A2:AD112,17,FALSE)),ROUND(VLOOKUP("2.1.x",A2:AD112,17,FALSE),4),0) + IF(ISNUMBER(VLOOKUP("11.1",A2:AD112,17,FALSE)),ROUND(VLOOKUP("11.1",A2:AD112,17,FALSE),4),0)</f>
        <v>42845533</v>
      </c>
      <c r="R16" s="4">
        <f>IF(ISNUMBER(VLOOKUP("2.1.1",A2:AD112,18,FALSE)),ROUND(VLOOKUP("2.1.1",A2:AD112,18,FALSE),4),0) + IF(ISNUMBER(VLOOKUP("2.1.3",A2:AD112,18,FALSE)),ROUND(VLOOKUP("2.1.3",A2:AD112,18,FALSE),4),0) + IF(ISNUMBER(VLOOKUP("2.1.x",A2:AD112,18,FALSE)),ROUND(VLOOKUP("2.1.x",A2:AD112,18,FALSE),4),0) + IF(ISNUMBER(VLOOKUP("11.1",A2:AD112,18,FALSE)),ROUND(VLOOKUP("11.1",A2:AD112,18,FALSE),4),0)</f>
        <v>43398143</v>
      </c>
      <c r="S16" s="4">
        <f>IF(ISNUMBER(VLOOKUP("2.1.1",A2:AD112,19,FALSE)),ROUND(VLOOKUP("2.1.1",A2:AD112,19,FALSE),4),0) + IF(ISNUMBER(VLOOKUP("2.1.3",A2:AD112,19,FALSE)),ROUND(VLOOKUP("2.1.3",A2:AD112,19,FALSE),4),0) + IF(ISNUMBER(VLOOKUP("2.1.x",A2:AD112,19,FALSE)),ROUND(VLOOKUP("2.1.x",A2:AD112,19,FALSE),4),0) + IF(ISNUMBER(VLOOKUP("11.1",A2:AD112,19,FALSE)),ROUND(VLOOKUP("11.1",A2:AD112,19,FALSE),4),0)</f>
        <v>43995469</v>
      </c>
      <c r="T16" s="4">
        <f>IF(ISNUMBER(VLOOKUP("2.1.1",A2:AD112,20,FALSE)),ROUND(VLOOKUP("2.1.1",A2:AD112,20,FALSE),4),0) + IF(ISNUMBER(VLOOKUP("2.1.3",A2:AD112,20,FALSE)),ROUND(VLOOKUP("2.1.3",A2:AD112,20,FALSE),4),0) + IF(ISNUMBER(VLOOKUP("2.1.x",A2:AD112,20,FALSE)),ROUND(VLOOKUP("2.1.x",A2:AD112,20,FALSE),4),0) + IF(ISNUMBER(VLOOKUP("11.1",A2:AD112,20,FALSE)),ROUND(VLOOKUP("11.1",A2:AD112,20,FALSE),4),0)</f>
        <v>44629337</v>
      </c>
      <c r="U16" s="4">
        <f>IF(ISNUMBER(VLOOKUP("2.1.1",A2:AD112,21,FALSE)),ROUND(VLOOKUP("2.1.1",A2:AD112,21,FALSE),4),0) + IF(ISNUMBER(VLOOKUP("2.1.3",A2:AD112,21,FALSE)),ROUND(VLOOKUP("2.1.3",A2:AD112,21,FALSE),4),0) + IF(ISNUMBER(VLOOKUP("2.1.x",A2:AD112,21,FALSE)),ROUND(VLOOKUP("2.1.x",A2:AD112,21,FALSE),4),0) + IF(ISNUMBER(VLOOKUP("11.1",A2:AD112,21,FALSE)),ROUND(VLOOKUP("11.1",A2:AD112,21,FALSE),4),0)</f>
        <v>45291563</v>
      </c>
      <c r="V16" s="4">
        <f>IF(ISNUMBER(VLOOKUP("2.1.1",A2:AD112,22,FALSE)),ROUND(VLOOKUP("2.1.1",A2:AD112,22,FALSE),4),0) + IF(ISNUMBER(VLOOKUP("2.1.3",A2:AD112,22,FALSE)),ROUND(VLOOKUP("2.1.3",A2:AD112,22,FALSE),4),0) + IF(ISNUMBER(VLOOKUP("2.1.x",A2:AD112,22,FALSE)),ROUND(VLOOKUP("2.1.x",A2:AD112,22,FALSE),4),0) + IF(ISNUMBER(VLOOKUP("11.1",A2:AD112,22,FALSE)),ROUND(VLOOKUP("11.1",A2:AD112,22,FALSE),4),0)</f>
        <v>45977235</v>
      </c>
      <c r="W16" s="4">
        <f>IF(ISNUMBER(VLOOKUP("2.1.1",A2:AD112,23,FALSE)),ROUND(VLOOKUP("2.1.1",A2:AD112,23,FALSE),4),0) + IF(ISNUMBER(VLOOKUP("2.1.3",A2:AD112,23,FALSE)),ROUND(VLOOKUP("2.1.3",A2:AD112,23,FALSE),4),0) + IF(ISNUMBER(VLOOKUP("2.1.x",A2:AD112,23,FALSE)),ROUND(VLOOKUP("2.1.x",A2:AD112,23,FALSE),4),0) + IF(ISNUMBER(VLOOKUP("11.1",A2:AD112,23,FALSE)),ROUND(VLOOKUP("11.1",A2:AD112,23,FALSE),4),0)</f>
        <v>46696648</v>
      </c>
      <c r="X16" s="4">
        <f>IF(ISNUMBER(VLOOKUP("2.1.1",A2:AD112,24,FALSE)),ROUND(VLOOKUP("2.1.1",A2:AD112,24,FALSE),4),0) + IF(ISNUMBER(VLOOKUP("2.1.3",A2:AD112,24,FALSE)),ROUND(VLOOKUP("2.1.3",A2:AD112,24,FALSE),4),0) + IF(ISNUMBER(VLOOKUP("2.1.x",A2:AD112,24,FALSE)),ROUND(VLOOKUP("2.1.x",A2:AD112,24,FALSE),4),0) + IF(ISNUMBER(VLOOKUP("11.1",A2:AD112,24,FALSE)),ROUND(VLOOKUP("11.1",A2:AD112,24,FALSE),4),0)</f>
        <v>47455494</v>
      </c>
      <c r="Y16" s="4">
        <f>IF(ISNUMBER(VLOOKUP("2.1.1",A2:AD112,25,FALSE)),ROUND(VLOOKUP("2.1.1",A2:AD112,25,FALSE),4),0) + IF(ISNUMBER(VLOOKUP("2.1.3",A2:AD112,25,FALSE)),ROUND(VLOOKUP("2.1.3",A2:AD112,25,FALSE),4),0) + IF(ISNUMBER(VLOOKUP("2.1.x",A2:AD112,25,FALSE)),ROUND(VLOOKUP("2.1.x",A2:AD112,25,FALSE),4),0) + IF(ISNUMBER(VLOOKUP("11.1",A2:AD112,25,FALSE)),ROUND(VLOOKUP("11.1",A2:AD112,25,FALSE),4),0)</f>
        <v>48245335</v>
      </c>
      <c r="Z16" s="4">
        <f>IF(ISNUMBER(VLOOKUP("2.1.1",A2:AD112,26,FALSE)),ROUND(VLOOKUP("2.1.1",A2:AD112,26,FALSE),4),0) + IF(ISNUMBER(VLOOKUP("2.1.3",A2:AD112,26,FALSE)),ROUND(VLOOKUP("2.1.3",A2:AD112,26,FALSE),4),0) + IF(ISNUMBER(VLOOKUP("2.1.x",A2:AD112,26,FALSE)),ROUND(VLOOKUP("2.1.x",A2:AD112,26,FALSE),4),0) + IF(ISNUMBER(VLOOKUP("11.1",A2:AD112,26,FALSE)),ROUND(VLOOKUP("11.1",A2:AD112,26,FALSE),4),0)</f>
        <v>49051564</v>
      </c>
      <c r="AA16" s="4">
        <f>IF(ISNUMBER(VLOOKUP("2.1.1",A2:AD112,27,FALSE)),ROUND(VLOOKUP("2.1.1",A2:AD112,27,FALSE),4),0) + IF(ISNUMBER(VLOOKUP("2.1.3",A2:AD112,27,FALSE)),ROUND(VLOOKUP("2.1.3",A2:AD112,27,FALSE),4),0) + IF(ISNUMBER(VLOOKUP("2.1.x",A2:AD112,27,FALSE)),ROUND(VLOOKUP("2.1.x",A2:AD112,27,FALSE),4),0) + IF(ISNUMBER(VLOOKUP("11.1",A2:AD112,27,FALSE)),ROUND(VLOOKUP("11.1",A2:AD112,27,FALSE),4),0)</f>
        <v>49874537</v>
      </c>
      <c r="AB16" s="4">
        <f>IF(ISNUMBER(VLOOKUP("2.1.1",A2:AD112,28,FALSE)),ROUND(VLOOKUP("2.1.1",A2:AD112,28,FALSE),4),0) + IF(ISNUMBER(VLOOKUP("2.1.3",A2:AD112,28,FALSE)),ROUND(VLOOKUP("2.1.3",A2:AD112,28,FALSE),4),0) + IF(ISNUMBER(VLOOKUP("2.1.x",A2:AD112,28,FALSE)),ROUND(VLOOKUP("2.1.x",A2:AD112,28,FALSE),4),0) + IF(ISNUMBER(VLOOKUP("11.1",A2:AD112,28,FALSE)),ROUND(VLOOKUP("11.1",A2:AD112,28,FALSE),4),0)</f>
        <v>50712617</v>
      </c>
      <c r="AC16" s="4">
        <f>IF(ISNUMBER(VLOOKUP("2.1.1",A2:AD112,29,FALSE)),ROUND(VLOOKUP("2.1.1",A2:AD112,29,FALSE),4),0) + IF(ISNUMBER(VLOOKUP("2.1.3",A2:AD112,29,FALSE)),ROUND(VLOOKUP("2.1.3",A2:AD112,29,FALSE),4),0) + IF(ISNUMBER(VLOOKUP("2.1.x",A2:AD112,29,FALSE)),ROUND(VLOOKUP("2.1.x",A2:AD112,29,FALSE),4),0) + IF(ISNUMBER(VLOOKUP("11.1",A2:AD112,29,FALSE)),ROUND(VLOOKUP("11.1",A2:AD112,29,FALSE),4),0)</f>
        <v>51566176</v>
      </c>
      <c r="AD16" s="4">
        <f>IF(ISNUMBER(VLOOKUP("2.1.1",A2:AD112,30,FALSE)),ROUND(VLOOKUP("2.1.1",A2:AD112,30,FALSE),4),0) + IF(ISNUMBER(VLOOKUP("2.1.3",A2:AD112,30,FALSE)),ROUND(VLOOKUP("2.1.3",A2:AD112,30,FALSE),4),0) + IF(ISNUMBER(VLOOKUP("2.1.x",A2:AD112,30,FALSE)),ROUND(VLOOKUP("2.1.x",A2:AD112,30,FALSE),4),0) + IF(ISNUMBER(VLOOKUP("11.1",A2:AD112,30,FALSE)),ROUND(VLOOKUP("11.1",A2:AD112,30,FALSE),4),0)</f>
        <v>51509676</v>
      </c>
    </row>
    <row r="17" spans="1:30" ht="14.25" customHeight="1" x14ac:dyDescent="0.25">
      <c r="A17" s="5" t="s">
        <v>59</v>
      </c>
      <c r="B17" s="6" t="s">
        <v>60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</row>
    <row r="18" spans="1:30" ht="27" hidden="1" customHeight="1" x14ac:dyDescent="0.25">
      <c r="A18" s="5" t="s">
        <v>61</v>
      </c>
      <c r="B18" s="6" t="s">
        <v>62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</row>
    <row r="19" spans="1:30" ht="66" customHeight="1" x14ac:dyDescent="0.25">
      <c r="A19" s="5" t="s">
        <v>63</v>
      </c>
      <c r="B19" s="6" t="s">
        <v>64</v>
      </c>
      <c r="C19" s="7">
        <v>0</v>
      </c>
      <c r="D19" s="7">
        <v>0</v>
      </c>
      <c r="E19" s="7">
        <v>0</v>
      </c>
      <c r="F19" s="7">
        <v>0</v>
      </c>
      <c r="G19" s="9" t="s">
        <v>65</v>
      </c>
      <c r="H19" s="9" t="s">
        <v>65</v>
      </c>
      <c r="I19" s="9" t="s">
        <v>65</v>
      </c>
      <c r="J19" s="9" t="s">
        <v>65</v>
      </c>
      <c r="K19" s="9" t="s">
        <v>65</v>
      </c>
      <c r="L19" s="9" t="s">
        <v>65</v>
      </c>
      <c r="M19" s="9" t="s">
        <v>65</v>
      </c>
      <c r="N19" s="9" t="s">
        <v>65</v>
      </c>
      <c r="O19" s="9" t="s">
        <v>65</v>
      </c>
      <c r="P19" s="9" t="s">
        <v>65</v>
      </c>
      <c r="Q19" s="9" t="s">
        <v>65</v>
      </c>
      <c r="R19" s="9" t="s">
        <v>65</v>
      </c>
      <c r="S19" s="9" t="s">
        <v>65</v>
      </c>
      <c r="T19" s="9" t="s">
        <v>65</v>
      </c>
      <c r="U19" s="9" t="s">
        <v>65</v>
      </c>
      <c r="V19" s="9" t="s">
        <v>65</v>
      </c>
      <c r="W19" s="9" t="s">
        <v>65</v>
      </c>
      <c r="X19" s="9" t="s">
        <v>65</v>
      </c>
      <c r="Y19" s="9" t="s">
        <v>65</v>
      </c>
      <c r="Z19" s="9" t="s">
        <v>65</v>
      </c>
      <c r="AA19" s="9" t="s">
        <v>65</v>
      </c>
      <c r="AB19" s="9" t="s">
        <v>65</v>
      </c>
      <c r="AC19" s="9" t="s">
        <v>65</v>
      </c>
      <c r="AD19" s="9" t="s">
        <v>65</v>
      </c>
    </row>
    <row r="20" spans="1:30" ht="14.25" customHeight="1" x14ac:dyDescent="0.25">
      <c r="A20" s="5" t="s">
        <v>66</v>
      </c>
      <c r="B20" s="6" t="s">
        <v>67</v>
      </c>
      <c r="C20" s="9">
        <v>0</v>
      </c>
      <c r="D20" s="9">
        <v>38548</v>
      </c>
      <c r="E20" s="9">
        <v>790474</v>
      </c>
      <c r="F20" s="9">
        <v>790474</v>
      </c>
      <c r="G20" s="9">
        <v>1038000</v>
      </c>
      <c r="H20" s="9">
        <v>1318967</v>
      </c>
      <c r="I20" s="9">
        <v>1627290</v>
      </c>
      <c r="J20" s="9">
        <v>1818119</v>
      </c>
      <c r="K20" s="9">
        <v>1866300</v>
      </c>
      <c r="L20" s="9">
        <v>1818634</v>
      </c>
      <c r="M20" s="9">
        <v>1699189</v>
      </c>
      <c r="N20" s="9">
        <v>1557008</v>
      </c>
      <c r="O20" s="9">
        <v>1409566</v>
      </c>
      <c r="P20" s="9">
        <v>1258539</v>
      </c>
      <c r="Q20" s="9">
        <v>1084767</v>
      </c>
      <c r="R20" s="9">
        <v>912955</v>
      </c>
      <c r="S20" s="9">
        <v>771744</v>
      </c>
      <c r="T20" s="9">
        <v>652656</v>
      </c>
      <c r="U20" s="9">
        <v>547198</v>
      </c>
      <c r="V20" s="9">
        <v>450140</v>
      </c>
      <c r="W20" s="9">
        <v>371454</v>
      </c>
      <c r="X20" s="9">
        <v>316500</v>
      </c>
      <c r="Y20" s="9">
        <v>276500</v>
      </c>
      <c r="Z20" s="9">
        <v>236500</v>
      </c>
      <c r="AA20" s="9">
        <v>196500</v>
      </c>
      <c r="AB20" s="9">
        <v>154500</v>
      </c>
      <c r="AC20" s="9">
        <v>110500</v>
      </c>
      <c r="AD20" s="9">
        <v>54000</v>
      </c>
    </row>
    <row r="21" spans="1:30" ht="27" customHeight="1" x14ac:dyDescent="0.25">
      <c r="A21" s="5" t="s">
        <v>68</v>
      </c>
      <c r="B21" s="6" t="s">
        <v>69</v>
      </c>
      <c r="C21" s="9">
        <v>0</v>
      </c>
      <c r="D21" s="9">
        <v>38548</v>
      </c>
      <c r="E21" s="9">
        <v>736704.76</v>
      </c>
      <c r="F21" s="9">
        <v>736704.76</v>
      </c>
      <c r="G21" s="9">
        <v>998399.69</v>
      </c>
      <c r="H21" s="9">
        <v>1318967</v>
      </c>
      <c r="I21" s="9">
        <v>1627290</v>
      </c>
      <c r="J21" s="9">
        <v>1818119</v>
      </c>
      <c r="K21" s="9">
        <v>1866300</v>
      </c>
      <c r="L21" s="9">
        <v>1818634</v>
      </c>
      <c r="M21" s="9">
        <v>1699189</v>
      </c>
      <c r="N21" s="9">
        <v>1557008</v>
      </c>
      <c r="O21" s="9">
        <v>1409566</v>
      </c>
      <c r="P21" s="9">
        <v>1258539</v>
      </c>
      <c r="Q21" s="9">
        <v>1084767</v>
      </c>
      <c r="R21" s="9">
        <v>912955</v>
      </c>
      <c r="S21" s="9">
        <v>771744</v>
      </c>
      <c r="T21" s="9">
        <v>652656</v>
      </c>
      <c r="U21" s="9">
        <v>547198</v>
      </c>
      <c r="V21" s="9">
        <v>450140</v>
      </c>
      <c r="W21" s="9">
        <v>371454</v>
      </c>
      <c r="X21" s="9">
        <v>316500</v>
      </c>
      <c r="Y21" s="9">
        <v>276500</v>
      </c>
      <c r="Z21" s="9">
        <v>236500</v>
      </c>
      <c r="AA21" s="9">
        <v>196500</v>
      </c>
      <c r="AB21" s="9">
        <v>154500</v>
      </c>
      <c r="AC21" s="9">
        <v>110500</v>
      </c>
      <c r="AD21" s="9">
        <v>54000</v>
      </c>
    </row>
    <row r="22" spans="1:30" ht="65.650000000000006" customHeight="1" x14ac:dyDescent="0.25">
      <c r="A22" s="5" t="s">
        <v>70</v>
      </c>
      <c r="B22" s="6" t="s">
        <v>71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</row>
    <row r="23" spans="1:30" ht="39.950000000000003" customHeight="1" x14ac:dyDescent="0.25">
      <c r="A23" s="5" t="s">
        <v>72</v>
      </c>
      <c r="B23" s="6" t="s">
        <v>73</v>
      </c>
      <c r="C23" s="9">
        <v>0</v>
      </c>
      <c r="D23" s="9">
        <v>0</v>
      </c>
      <c r="E23" s="9">
        <v>28722.12</v>
      </c>
      <c r="F23" s="9">
        <v>28722.12</v>
      </c>
      <c r="G23" s="9">
        <v>97647.61</v>
      </c>
      <c r="H23" s="9">
        <v>212998.16</v>
      </c>
      <c r="I23" s="9">
        <v>214657.12</v>
      </c>
      <c r="J23" s="9">
        <v>205943.25</v>
      </c>
      <c r="K23" s="9">
        <v>113356.44</v>
      </c>
      <c r="L23" s="9">
        <v>102942</v>
      </c>
      <c r="M23" s="9">
        <v>97332.2</v>
      </c>
      <c r="N23" s="9">
        <v>91722.26</v>
      </c>
      <c r="O23" s="9">
        <v>86112.320000000007</v>
      </c>
      <c r="P23" s="9">
        <v>80502.38</v>
      </c>
      <c r="Q23" s="9">
        <v>71620.240000000005</v>
      </c>
      <c r="R23" s="9">
        <v>59465.37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</row>
    <row r="24" spans="1:30" hidden="1" x14ac:dyDescent="0.25">
      <c r="A24" s="5" t="s">
        <v>74</v>
      </c>
      <c r="B24" s="6" t="s">
        <v>47</v>
      </c>
      <c r="C24" s="7">
        <v>20475728.260000002</v>
      </c>
      <c r="D24" s="7">
        <v>22998148.789999999</v>
      </c>
      <c r="E24" s="7">
        <v>24057237.710000001</v>
      </c>
      <c r="F24" s="7">
        <v>24475210.489999998</v>
      </c>
      <c r="G24" s="8">
        <v>23738226.77</v>
      </c>
      <c r="H24" s="8">
        <v>22863269</v>
      </c>
      <c r="I24" s="8">
        <v>23149060</v>
      </c>
      <c r="J24" s="8">
        <v>23438423</v>
      </c>
      <c r="K24" s="8">
        <v>23731403</v>
      </c>
      <c r="L24" s="8">
        <v>24028046</v>
      </c>
      <c r="M24" s="8">
        <v>24328397</v>
      </c>
      <c r="N24" s="8">
        <v>24632502</v>
      </c>
      <c r="O24" s="8">
        <v>24940408</v>
      </c>
      <c r="P24" s="8">
        <v>25252163</v>
      </c>
      <c r="Q24" s="8">
        <v>25567815</v>
      </c>
      <c r="R24" s="8">
        <v>25887413</v>
      </c>
      <c r="S24" s="8">
        <v>26211006</v>
      </c>
      <c r="T24" s="8">
        <v>26538644</v>
      </c>
      <c r="U24" s="8">
        <v>26870377</v>
      </c>
      <c r="V24" s="8">
        <v>27206257</v>
      </c>
      <c r="W24" s="8">
        <v>27546335</v>
      </c>
      <c r="X24" s="8">
        <v>27890664</v>
      </c>
      <c r="Y24" s="8">
        <v>28239297</v>
      </c>
      <c r="Z24" s="8">
        <v>28592288</v>
      </c>
      <c r="AA24" s="8">
        <v>28949692</v>
      </c>
      <c r="AB24" s="8">
        <v>29311563</v>
      </c>
      <c r="AC24" s="8">
        <v>29677958</v>
      </c>
      <c r="AD24" s="8">
        <v>29677958</v>
      </c>
    </row>
    <row r="25" spans="1:30" ht="14.25" customHeight="1" x14ac:dyDescent="0.25">
      <c r="A25" s="2" t="s">
        <v>75</v>
      </c>
      <c r="B25" s="3" t="s">
        <v>76</v>
      </c>
      <c r="C25" s="4">
        <f>IF(ISNUMBER(VLOOKUP("11.4",A2:AD112,3,FALSE)),ROUND(VLOOKUP("11.4",A2:AD112,3,FALSE),4),0) + IF(ISNUMBER(VLOOKUP("11.5",A2:AD112,3,FALSE)),ROUND(VLOOKUP("11.5",A2:AD112,3,FALSE),4),0) + IF(ISNUMBER(VLOOKUP("11.6",A2:AD112,3,FALSE)),ROUND(VLOOKUP("11.6",A2:AD112,3,FALSE),4),0) + IF(ISNUMBER(VLOOKUP("11.x",A2:AD112,3,FALSE)),ROUND(VLOOKUP("11.x",A2:AD112,3,FALSE),4),0)</f>
        <v>9237073.6400000006</v>
      </c>
      <c r="D25" s="4">
        <f>IF(ISNUMBER(VLOOKUP("11.4",A2:AD112,4,FALSE)),ROUND(VLOOKUP("11.4",A2:AD112,4,FALSE),4),0) + IF(ISNUMBER(VLOOKUP("11.5",A2:AD112,4,FALSE)),ROUND(VLOOKUP("11.5",A2:AD112,4,FALSE),4),0) + IF(ISNUMBER(VLOOKUP("11.6",A2:AD112,4,FALSE)),ROUND(VLOOKUP("11.6",A2:AD112,4,FALSE),4),0) + IF(ISNUMBER(VLOOKUP("11.x",A2:AD112,4,FALSE)),ROUND(VLOOKUP("11.x",A2:AD112,4,FALSE),4),0)</f>
        <v>10646592.520000001</v>
      </c>
      <c r="E25" s="4">
        <f>IF(ISNUMBER(VLOOKUP("11.4",A2:AD112,5,FALSE)),ROUND(VLOOKUP("11.4",A2:AD112,5,FALSE),4),0) + IF(ISNUMBER(VLOOKUP("11.5",A2:AD112,5,FALSE)),ROUND(VLOOKUP("11.5",A2:AD112,5,FALSE),4),0) + IF(ISNUMBER(VLOOKUP("11.6",A2:AD112,5,FALSE)),ROUND(VLOOKUP("11.6",A2:AD112,5,FALSE),4),0) + IF(ISNUMBER(VLOOKUP("11.x",A2:AD112,5,FALSE)),ROUND(VLOOKUP("11.x",A2:AD112,5,FALSE),4),0)</f>
        <v>44349983.659999996</v>
      </c>
      <c r="F25" s="4">
        <f>IF(ISNUMBER(VLOOKUP("11.4",A2:AD112,6,FALSE)),ROUND(VLOOKUP("11.4",A2:AD112,6,FALSE),4),0) + IF(ISNUMBER(VLOOKUP("11.5",A2:AD112,6,FALSE)),ROUND(VLOOKUP("11.5",A2:AD112,6,FALSE),4),0) + IF(ISNUMBER(VLOOKUP("11.6",A2:AD112,6,FALSE)),ROUND(VLOOKUP("11.6",A2:AD112,6,FALSE),4),0) + IF(ISNUMBER(VLOOKUP("11.x",A2:AD112,6,FALSE)),ROUND(VLOOKUP("11.x",A2:AD112,6,FALSE),4),0)</f>
        <v>27312338.690000001</v>
      </c>
      <c r="G25" s="4">
        <f>IF(ISNUMBER(VLOOKUP("11.4",A2:AD112,7,FALSE)),ROUND(VLOOKUP("11.4",A2:AD112,7,FALSE),4),0) + IF(ISNUMBER(VLOOKUP("11.5",A2:AD112,7,FALSE)),ROUND(VLOOKUP("11.5",A2:AD112,7,FALSE),4),0) + IF(ISNUMBER(VLOOKUP("11.6",A2:AD112,7,FALSE)),ROUND(VLOOKUP("11.6",A2:AD112,7,FALSE),4),0) + IF(ISNUMBER(VLOOKUP("11.x",A2:AD112,7,FALSE)),ROUND(VLOOKUP("11.x",A2:AD112,7,FALSE),4),0)</f>
        <v>46124291.370000005</v>
      </c>
      <c r="H25" s="4">
        <f>IF(ISNUMBER(VLOOKUP("11.4",A2:AD112,8,FALSE)),ROUND(VLOOKUP("11.4",A2:AD112,8,FALSE),4),0) + IF(ISNUMBER(VLOOKUP("11.5",A2:AD112,8,FALSE)),ROUND(VLOOKUP("11.5",A2:AD112,8,FALSE),4),0) + IF(ISNUMBER(VLOOKUP("11.6",A2:AD112,8,FALSE)),ROUND(VLOOKUP("11.6",A2:AD112,8,FALSE),4),0) + IF(ISNUMBER(VLOOKUP("11.x",A2:AD112,8,FALSE)),ROUND(VLOOKUP("11.x",A2:AD112,8,FALSE),4),0)</f>
        <v>59157050.130000003</v>
      </c>
      <c r="I25" s="4">
        <f>IF(ISNUMBER(VLOOKUP("11.4",A2:AD112,9,FALSE)),ROUND(VLOOKUP("11.4",A2:AD112,9,FALSE),4),0) + IF(ISNUMBER(VLOOKUP("11.5",A2:AD112,9,FALSE)),ROUND(VLOOKUP("11.5",A2:AD112,9,FALSE),4),0) + IF(ISNUMBER(VLOOKUP("11.6",A2:AD112,9,FALSE)),ROUND(VLOOKUP("11.6",A2:AD112,9,FALSE),4),0) + IF(ISNUMBER(VLOOKUP("11.x",A2:AD112,9,FALSE)),ROUND(VLOOKUP("11.x",A2:AD112,9,FALSE),4),0)</f>
        <v>42189105.979999997</v>
      </c>
      <c r="J25" s="4">
        <f>IF(ISNUMBER(VLOOKUP("11.4",A2:AD112,10,FALSE)),ROUND(VLOOKUP("11.4",A2:AD112,10,FALSE),4),0) + IF(ISNUMBER(VLOOKUP("11.5",A2:AD112,10,FALSE)),ROUND(VLOOKUP("11.5",A2:AD112,10,FALSE),4),0) + IF(ISNUMBER(VLOOKUP("11.6",A2:AD112,10,FALSE)),ROUND(VLOOKUP("11.6",A2:AD112,10,FALSE),4),0) + IF(ISNUMBER(VLOOKUP("11.x",A2:AD112,10,FALSE)),ROUND(VLOOKUP("11.x",A2:AD112,10,FALSE),4),0)</f>
        <v>38969123.090000004</v>
      </c>
      <c r="K25" s="4">
        <f>IF(ISNUMBER(VLOOKUP("11.4",A2:AD112,11,FALSE)),ROUND(VLOOKUP("11.4",A2:AD112,11,FALSE),4),0) + IF(ISNUMBER(VLOOKUP("11.5",A2:AD112,11,FALSE)),ROUND(VLOOKUP("11.5",A2:AD112,11,FALSE),4),0) + IF(ISNUMBER(VLOOKUP("11.6",A2:AD112,11,FALSE)),ROUND(VLOOKUP("11.6",A2:AD112,11,FALSE),4),0) + IF(ISNUMBER(VLOOKUP("11.x",A2:AD112,11,FALSE)),ROUND(VLOOKUP("11.x",A2:AD112,11,FALSE),4),0)</f>
        <v>6482776.54</v>
      </c>
      <c r="L25" s="4">
        <f>IF(ISNUMBER(VLOOKUP("11.4",A2:AD112,12,FALSE)),ROUND(VLOOKUP("11.4",A2:AD112,12,FALSE),4),0) + IF(ISNUMBER(VLOOKUP("11.5",A2:AD112,12,FALSE)),ROUND(VLOOKUP("11.5",A2:AD112,12,FALSE),4),0) + IF(ISNUMBER(VLOOKUP("11.6",A2:AD112,12,FALSE)),ROUND(VLOOKUP("11.6",A2:AD112,12,FALSE),4),0) + IF(ISNUMBER(VLOOKUP("11.x",A2:AD112,12,FALSE)),ROUND(VLOOKUP("11.x",A2:AD112,12,FALSE),4),0)</f>
        <v>4577289</v>
      </c>
      <c r="M25" s="4">
        <f>IF(ISNUMBER(VLOOKUP("11.4",A2:AD112,13,FALSE)),ROUND(VLOOKUP("11.4",A2:AD112,13,FALSE),4),0) + IF(ISNUMBER(VLOOKUP("11.5",A2:AD112,13,FALSE)),ROUND(VLOOKUP("11.5",A2:AD112,13,FALSE),4),0) + IF(ISNUMBER(VLOOKUP("11.6",A2:AD112,13,FALSE)),ROUND(VLOOKUP("11.6",A2:AD112,13,FALSE),4),0) + IF(ISNUMBER(VLOOKUP("11.x",A2:AD112,13,FALSE)),ROUND(VLOOKUP("11.x",A2:AD112,13,FALSE),4),0)</f>
        <v>4055604</v>
      </c>
      <c r="N25" s="4">
        <f>IF(ISNUMBER(VLOOKUP("11.4",A2:AD112,14,FALSE)),ROUND(VLOOKUP("11.4",A2:AD112,14,FALSE),4),0) + IF(ISNUMBER(VLOOKUP("11.5",A2:AD112,14,FALSE)),ROUND(VLOOKUP("11.5",A2:AD112,14,FALSE),4),0) + IF(ISNUMBER(VLOOKUP("11.6",A2:AD112,14,FALSE)),ROUND(VLOOKUP("11.6",A2:AD112,14,FALSE),4),0) + IF(ISNUMBER(VLOOKUP("11.x",A2:AD112,14,FALSE)),ROUND(VLOOKUP("11.x",A2:AD112,14,FALSE),4),0)</f>
        <v>4433346</v>
      </c>
      <c r="O25" s="4">
        <f>IF(ISNUMBER(VLOOKUP("11.4",A2:AD112,15,FALSE)),ROUND(VLOOKUP("11.4",A2:AD112,15,FALSE),4),0) + IF(ISNUMBER(VLOOKUP("11.5",A2:AD112,15,FALSE)),ROUND(VLOOKUP("11.5",A2:AD112,15,FALSE),4),0) + IF(ISNUMBER(VLOOKUP("11.6",A2:AD112,15,FALSE)),ROUND(VLOOKUP("11.6",A2:AD112,15,FALSE),4),0) + IF(ISNUMBER(VLOOKUP("11.x",A2:AD112,15,FALSE)),ROUND(VLOOKUP("11.x",A2:AD112,15,FALSE),4),0)</f>
        <v>4944273</v>
      </c>
      <c r="P25" s="4">
        <f>IF(ISNUMBER(VLOOKUP("11.4",A2:AD112,16,FALSE)),ROUND(VLOOKUP("11.4",A2:AD112,16,FALSE),4),0) + IF(ISNUMBER(VLOOKUP("11.5",A2:AD112,16,FALSE)),ROUND(VLOOKUP("11.5",A2:AD112,16,FALSE),4),0) + IF(ISNUMBER(VLOOKUP("11.6",A2:AD112,16,FALSE)),ROUND(VLOOKUP("11.6",A2:AD112,16,FALSE),4),0) + IF(ISNUMBER(VLOOKUP("11.x",A2:AD112,16,FALSE)),ROUND(VLOOKUP("11.x",A2:AD112,16,FALSE),4),0)</f>
        <v>5148797.5</v>
      </c>
      <c r="Q25" s="4">
        <f>IF(ISNUMBER(VLOOKUP("11.4",A2:AD112,17,FALSE)),ROUND(VLOOKUP("11.4",A2:AD112,17,FALSE),4),0) + IF(ISNUMBER(VLOOKUP("11.5",A2:AD112,17,FALSE)),ROUND(VLOOKUP("11.5",A2:AD112,17,FALSE),4),0) + IF(ISNUMBER(VLOOKUP("11.6",A2:AD112,17,FALSE)),ROUND(VLOOKUP("11.6",A2:AD112,17,FALSE),4),0) + IF(ISNUMBER(VLOOKUP("11.x",A2:AD112,17,FALSE)),ROUND(VLOOKUP("11.x",A2:AD112,17,FALSE),4),0)</f>
        <v>4139702.13</v>
      </c>
      <c r="R25" s="4">
        <f>IF(ISNUMBER(VLOOKUP("11.4",A2:AD112,18,FALSE)),ROUND(VLOOKUP("11.4",A2:AD112,18,FALSE),4),0) + IF(ISNUMBER(VLOOKUP("11.5",A2:AD112,18,FALSE)),ROUND(VLOOKUP("11.5",A2:AD112,18,FALSE),4),0) + IF(ISNUMBER(VLOOKUP("11.6",A2:AD112,18,FALSE)),ROUND(VLOOKUP("11.6",A2:AD112,18,FALSE),4),0) + IF(ISNUMBER(VLOOKUP("11.x",A2:AD112,18,FALSE)),ROUND(VLOOKUP("11.x",A2:AD112,18,FALSE),4),0)</f>
        <v>5878469</v>
      </c>
      <c r="S25" s="4">
        <f>IF(ISNUMBER(VLOOKUP("11.4",A2:AD112,19,FALSE)),ROUND(VLOOKUP("11.4",A2:AD112,19,FALSE),4),0) + IF(ISNUMBER(VLOOKUP("11.5",A2:AD112,19,FALSE)),ROUND(VLOOKUP("11.5",A2:AD112,19,FALSE),4),0) + IF(ISNUMBER(VLOOKUP("11.6",A2:AD112,19,FALSE)),ROUND(VLOOKUP("11.6",A2:AD112,19,FALSE),4),0) + IF(ISNUMBER(VLOOKUP("11.x",A2:AD112,19,FALSE)),ROUND(VLOOKUP("11.x",A2:AD112,19,FALSE),4),0)</f>
        <v>7074432.9699999997</v>
      </c>
      <c r="T25" s="4">
        <f>IF(ISNUMBER(VLOOKUP("11.4",A2:AD112,20,FALSE)),ROUND(VLOOKUP("11.4",A2:AD112,20,FALSE),4),0) + IF(ISNUMBER(VLOOKUP("11.5",A2:AD112,20,FALSE)),ROUND(VLOOKUP("11.5",A2:AD112,20,FALSE),4),0) + IF(ISNUMBER(VLOOKUP("11.6",A2:AD112,20,FALSE)),ROUND(VLOOKUP("11.6",A2:AD112,20,FALSE),4),0) + IF(ISNUMBER(VLOOKUP("11.x",A2:AD112,20,FALSE)),ROUND(VLOOKUP("11.x",A2:AD112,20,FALSE),4),0)</f>
        <v>8141766</v>
      </c>
      <c r="U25" s="4">
        <f>IF(ISNUMBER(VLOOKUP("11.4",A2:AD112,21,FALSE)),ROUND(VLOOKUP("11.4",A2:AD112,21,FALSE),4),0) + IF(ISNUMBER(VLOOKUP("11.5",A2:AD112,21,FALSE)),ROUND(VLOOKUP("11.5",A2:AD112,21,FALSE),4),0) + IF(ISNUMBER(VLOOKUP("11.6",A2:AD112,21,FALSE)),ROUND(VLOOKUP("11.6",A2:AD112,21,FALSE),4),0) + IF(ISNUMBER(VLOOKUP("11.x",A2:AD112,21,FALSE)),ROUND(VLOOKUP("11.x",A2:AD112,21,FALSE),4),0)</f>
        <v>8739068</v>
      </c>
      <c r="V25" s="4">
        <f>IF(ISNUMBER(VLOOKUP("11.4",A2:AD112,22,FALSE)),ROUND(VLOOKUP("11.4",A2:AD112,22,FALSE),4),0) + IF(ISNUMBER(VLOOKUP("11.5",A2:AD112,22,FALSE)),ROUND(VLOOKUP("11.5",A2:AD112,22,FALSE),4),0) + IF(ISNUMBER(VLOOKUP("11.6",A2:AD112,22,FALSE)),ROUND(VLOOKUP("11.6",A2:AD112,22,FALSE),4),0) + IF(ISNUMBER(VLOOKUP("11.x",A2:AD112,22,FALSE)),ROUND(VLOOKUP("11.x",A2:AD112,22,FALSE),4),0)</f>
        <v>9988187</v>
      </c>
      <c r="W25" s="4">
        <f>IF(ISNUMBER(VLOOKUP("11.4",A2:AD112,23,FALSE)),ROUND(VLOOKUP("11.4",A2:AD112,23,FALSE),4),0) + IF(ISNUMBER(VLOOKUP("11.5",A2:AD112,23,FALSE)),ROUND(VLOOKUP("11.5",A2:AD112,23,FALSE),4),0) + IF(ISNUMBER(VLOOKUP("11.6",A2:AD112,23,FALSE)),ROUND(VLOOKUP("11.6",A2:AD112,23,FALSE),4),0) + IF(ISNUMBER(VLOOKUP("11.x",A2:AD112,23,FALSE)),ROUND(VLOOKUP("11.x",A2:AD112,23,FALSE),4),0)</f>
        <v>11044107.51</v>
      </c>
      <c r="X25" s="4">
        <f>IF(ISNUMBER(VLOOKUP("11.4",A2:AD112,24,FALSE)),ROUND(VLOOKUP("11.4",A2:AD112,24,FALSE),4),0) + IF(ISNUMBER(VLOOKUP("11.5",A2:AD112,24,FALSE)),ROUND(VLOOKUP("11.5",A2:AD112,24,FALSE),4),0) + IF(ISNUMBER(VLOOKUP("11.6",A2:AD112,24,FALSE)),ROUND(VLOOKUP("11.6",A2:AD112,24,FALSE),4),0) + IF(ISNUMBER(VLOOKUP("11.x",A2:AD112,24,FALSE)),ROUND(VLOOKUP("11.x",A2:AD112,24,FALSE),4),0)</f>
        <v>12590648</v>
      </c>
      <c r="Y25" s="4">
        <f>IF(ISNUMBER(VLOOKUP("11.4",A2:AD112,25,FALSE)),ROUND(VLOOKUP("11.4",A2:AD112,25,FALSE),4),0) + IF(ISNUMBER(VLOOKUP("11.5",A2:AD112,25,FALSE)),ROUND(VLOOKUP("11.5",A2:AD112,25,FALSE),4),0) + IF(ISNUMBER(VLOOKUP("11.6",A2:AD112,25,FALSE)),ROUND(VLOOKUP("11.6",A2:AD112,25,FALSE),4),0) + IF(ISNUMBER(VLOOKUP("11.x",A2:AD112,25,FALSE)),ROUND(VLOOKUP("11.x",A2:AD112,25,FALSE),4),0)</f>
        <v>13269461</v>
      </c>
      <c r="Z25" s="4">
        <f>IF(ISNUMBER(VLOOKUP("11.4",A2:AD112,26,FALSE)),ROUND(VLOOKUP("11.4",A2:AD112,26,FALSE),4),0) + IF(ISNUMBER(VLOOKUP("11.5",A2:AD112,26,FALSE)),ROUND(VLOOKUP("11.5",A2:AD112,26,FALSE),4),0) + IF(ISNUMBER(VLOOKUP("11.6",A2:AD112,26,FALSE)),ROUND(VLOOKUP("11.6",A2:AD112,26,FALSE),4),0) + IF(ISNUMBER(VLOOKUP("11.x",A2:AD112,26,FALSE)),ROUND(VLOOKUP("11.x",A2:AD112,26,FALSE),4),0)</f>
        <v>13968602</v>
      </c>
      <c r="AA25" s="4">
        <f>IF(ISNUMBER(VLOOKUP("11.4",A2:AD112,27,FALSE)),ROUND(VLOOKUP("11.4",A2:AD112,27,FALSE),4),0) + IF(ISNUMBER(VLOOKUP("11.5",A2:AD112,27,FALSE)),ROUND(VLOOKUP("11.5",A2:AD112,27,FALSE),4),0) + IF(ISNUMBER(VLOOKUP("11.6",A2:AD112,27,FALSE)),ROUND(VLOOKUP("11.6",A2:AD112,27,FALSE),4),0) + IF(ISNUMBER(VLOOKUP("11.x",A2:AD112,27,FALSE)),ROUND(VLOOKUP("11.x",A2:AD112,27,FALSE),4),0)</f>
        <v>14488633</v>
      </c>
      <c r="AB25" s="4">
        <f>IF(ISNUMBER(VLOOKUP("11.4",A2:AD112,28,FALSE)),ROUND(VLOOKUP("11.4",A2:AD112,28,FALSE),4),0) + IF(ISNUMBER(VLOOKUP("11.5",A2:AD112,28,FALSE)),ROUND(VLOOKUP("11.5",A2:AD112,28,FALSE),4),0) + IF(ISNUMBER(VLOOKUP("11.6",A2:AD112,28,FALSE)),ROUND(VLOOKUP("11.6",A2:AD112,28,FALSE),4),0) + IF(ISNUMBER(VLOOKUP("11.x",A2:AD112,28,FALSE)),ROUND(VLOOKUP("11.x",A2:AD112,28,FALSE),4),0)</f>
        <v>15182133</v>
      </c>
      <c r="AC25" s="4">
        <f>IF(ISNUMBER(VLOOKUP("11.4",A2:AD112,29,FALSE)),ROUND(VLOOKUP("11.4",A2:AD112,29,FALSE),4),0) + IF(ISNUMBER(VLOOKUP("11.5",A2:AD112,29,FALSE)),ROUND(VLOOKUP("11.5",A2:AD112,29,FALSE),4),0) + IF(ISNUMBER(VLOOKUP("11.6",A2:AD112,29,FALSE)),ROUND(VLOOKUP("11.6",A2:AD112,29,FALSE),4),0) + IF(ISNUMBER(VLOOKUP("11.x",A2:AD112,29,FALSE)),ROUND(VLOOKUP("11.x",A2:AD112,29,FALSE),4),0)</f>
        <v>15799693</v>
      </c>
      <c r="AD25" s="4">
        <f>IF(ISNUMBER(VLOOKUP("11.4",A2:AD112,30,FALSE)),ROUND(VLOOKUP("11.4",A2:AD112,30,FALSE),4),0) + IF(ISNUMBER(VLOOKUP("11.5",A2:AD112,30,FALSE)),ROUND(VLOOKUP("11.5",A2:AD112,30,FALSE),4),0) + IF(ISNUMBER(VLOOKUP("11.6",A2:AD112,30,FALSE)),ROUND(VLOOKUP("11.6",A2:AD112,30,FALSE),4),0) + IF(ISNUMBER(VLOOKUP("11.x",A2:AD112,30,FALSE)),ROUND(VLOOKUP("11.x",A2:AD112,30,FALSE),4),0)</f>
        <v>13981193</v>
      </c>
    </row>
    <row r="26" spans="1:30" ht="14.25" customHeight="1" x14ac:dyDescent="0.25">
      <c r="A26" s="2" t="s">
        <v>77</v>
      </c>
      <c r="B26" s="3" t="s">
        <v>78</v>
      </c>
      <c r="C26" s="4">
        <f>IF(ISNUMBER(VLOOKUP("1",A2:AD112,3,FALSE)),ROUND(VLOOKUP("1",A2:AD112,3,FALSE),4),0) -IF(ISNUMBER(VLOOKUP("2",A2:AD112,3,FALSE)),ROUND(VLOOKUP("2",A2:AD112,3,FALSE),4),0)</f>
        <v>-2451223.1599999964</v>
      </c>
      <c r="D26" s="4">
        <f>IF(ISNUMBER(VLOOKUP("1",A2:AD112,4,FALSE)),ROUND(VLOOKUP("1",A2:AD112,4,FALSE),4),0) -IF(ISNUMBER(VLOOKUP("2",A2:AD112,4,FALSE)),ROUND(VLOOKUP("2",A2:AD112,4,FALSE),4),0)</f>
        <v>-2194598.4299999997</v>
      </c>
      <c r="E26" s="4">
        <f>IF(ISNUMBER(VLOOKUP("1",A2:AD112,5,FALSE)),ROUND(VLOOKUP("1",A2:AD112,5,FALSE),4),0) -IF(ISNUMBER(VLOOKUP("2",A2:AD112,5,FALSE)),ROUND(VLOOKUP("2",A2:AD112,5,FALSE),4),0)</f>
        <v>-12243719.609999999</v>
      </c>
      <c r="F26" s="4">
        <f>IF(ISNUMBER(VLOOKUP("1",A2:AD112,6,FALSE)),ROUND(VLOOKUP("1",A2:AD112,6,FALSE),4),0) -IF(ISNUMBER(VLOOKUP("2",A2:AD112,6,FALSE)),ROUND(VLOOKUP("2",A2:AD112,6,FALSE),4),0)</f>
        <v>-9664474.6600000039</v>
      </c>
      <c r="G26" s="4">
        <f>IF(ISNUMBER(VLOOKUP("1",A2:AD112,7,FALSE)),ROUND(VLOOKUP("1",A2:AD112,7,FALSE),4),0) -IF(ISNUMBER(VLOOKUP("2",A2:AD112,7,FALSE)),ROUND(VLOOKUP("2",A2:AD112,7,FALSE),4),0)</f>
        <v>-8306917.1299999952</v>
      </c>
      <c r="H26" s="4">
        <f>IF(ISNUMBER(VLOOKUP("1",A2:AD112,8,FALSE)),ROUND(VLOOKUP("1",A2:AD112,8,FALSE),4),0) -IF(ISNUMBER(VLOOKUP("2",A2:AD112,8,FALSE)),ROUND(VLOOKUP("2",A2:AD112,8,FALSE),4),0)</f>
        <v>-12420706.489999995</v>
      </c>
      <c r="I26" s="4">
        <f>IF(ISNUMBER(VLOOKUP("1",A2:AD112,9,FALSE)),ROUND(VLOOKUP("1",A2:AD112,9,FALSE),4),0) -IF(ISNUMBER(VLOOKUP("2",A2:AD112,9,FALSE)),ROUND(VLOOKUP("2",A2:AD112,9,FALSE),4),0)</f>
        <v>-9609278.0300000012</v>
      </c>
      <c r="J26" s="4">
        <f>IF(ISNUMBER(VLOOKUP("1",A2:AD112,10,FALSE)),ROUND(VLOOKUP("1",A2:AD112,10,FALSE),4),0) -IF(ISNUMBER(VLOOKUP("2",A2:AD112,10,FALSE)),ROUND(VLOOKUP("2",A2:AD112,10,FALSE),4),0)</f>
        <v>-8240129.3100000024</v>
      </c>
      <c r="K26" s="4">
        <f>IF(ISNUMBER(VLOOKUP("1",A2:AD112,11,FALSE)),ROUND(VLOOKUP("1",A2:AD112,11,FALSE),4),0) -IF(ISNUMBER(VLOOKUP("2",A2:AD112,11,FALSE)),ROUND(VLOOKUP("2",A2:AD112,11,FALSE),4),0)</f>
        <v>2135985.4600000009</v>
      </c>
      <c r="L26" s="4">
        <f>IF(ISNUMBER(VLOOKUP("1",A2:AD112,12,FALSE)),ROUND(VLOOKUP("1",A2:AD112,12,FALSE),4),0) -IF(ISNUMBER(VLOOKUP("2",A2:AD112,12,FALSE)),ROUND(VLOOKUP("2",A2:AD112,12,FALSE),4),0)</f>
        <v>2794860</v>
      </c>
      <c r="M26" s="4">
        <f>IF(ISNUMBER(VLOOKUP("1",A2:AD112,13,FALSE)),ROUND(VLOOKUP("1",A2:AD112,13,FALSE),4),0) -IF(ISNUMBER(VLOOKUP("2",A2:AD112,13,FALSE)),ROUND(VLOOKUP("2",A2:AD112,13,FALSE),4),0)</f>
        <v>3869860</v>
      </c>
      <c r="N26" s="4">
        <f>IF(ISNUMBER(VLOOKUP("1",A2:AD112,14,FALSE)),ROUND(VLOOKUP("1",A2:AD112,14,FALSE),4),0) -IF(ISNUMBER(VLOOKUP("2",A2:AD112,14,FALSE)),ROUND(VLOOKUP("2",A2:AD112,14,FALSE),4),0)</f>
        <v>4082770</v>
      </c>
      <c r="O26" s="4">
        <f>IF(ISNUMBER(VLOOKUP("1",A2:AD112,15,FALSE)),ROUND(VLOOKUP("1",A2:AD112,15,FALSE),4),0) -IF(ISNUMBER(VLOOKUP("2",A2:AD112,15,FALSE)),ROUND(VLOOKUP("2",A2:AD112,15,FALSE),4),0)</f>
        <v>4182770</v>
      </c>
      <c r="P26" s="4">
        <f>IF(ISNUMBER(VLOOKUP("1",A2:AD112,16,FALSE)),ROUND(VLOOKUP("1",A2:AD112,16,FALSE),4),0) -IF(ISNUMBER(VLOOKUP("2",A2:AD112,16,FALSE)),ROUND(VLOOKUP("2",A2:AD112,16,FALSE),4),0)</f>
        <v>4258192.5</v>
      </c>
      <c r="Q26" s="4">
        <f>IF(ISNUMBER(VLOOKUP("1",A2:AD112,17,FALSE)),ROUND(VLOOKUP("1",A2:AD112,17,FALSE),4),0) -IF(ISNUMBER(VLOOKUP("2",A2:AD112,17,FALSE)),ROUND(VLOOKUP("2",A2:AD112,17,FALSE),4),0)</f>
        <v>5935850.8699999973</v>
      </c>
      <c r="R26" s="4">
        <f>IF(ISNUMBER(VLOOKUP("1",A2:AD112,18,FALSE)),ROUND(VLOOKUP("1",A2:AD112,18,FALSE),4),0) -IF(ISNUMBER(VLOOKUP("2",A2:AD112,18,FALSE)),ROUND(VLOOKUP("2",A2:AD112,18,FALSE),4),0)</f>
        <v>4880000</v>
      </c>
      <c r="S26" s="4">
        <f>IF(ISNUMBER(VLOOKUP("1",A2:AD112,19,FALSE)),ROUND(VLOOKUP("1",A2:AD112,19,FALSE),4),0) -IF(ISNUMBER(VLOOKUP("2",A2:AD112,19,FALSE)),ROUND(VLOOKUP("2",A2:AD112,19,FALSE),4),0)</f>
        <v>4353125.0300000012</v>
      </c>
      <c r="T26" s="4">
        <f>IF(ISNUMBER(VLOOKUP("1",A2:AD112,20,FALSE)),ROUND(VLOOKUP("1",A2:AD112,20,FALSE),4),0) -IF(ISNUMBER(VLOOKUP("2",A2:AD112,20,FALSE)),ROUND(VLOOKUP("2",A2:AD112,20,FALSE),4),0)</f>
        <v>3950000</v>
      </c>
      <c r="U26" s="4">
        <f>IF(ISNUMBER(VLOOKUP("1",A2:AD112,21,FALSE)),ROUND(VLOOKUP("1",A2:AD112,21,FALSE),4),0) -IF(ISNUMBER(VLOOKUP("2",A2:AD112,21,FALSE)),ROUND(VLOOKUP("2",A2:AD112,21,FALSE),4),0)</f>
        <v>4021000</v>
      </c>
      <c r="V26" s="4">
        <f>IF(ISNUMBER(VLOOKUP("1",A2:AD112,22,FALSE)),ROUND(VLOOKUP("1",A2:AD112,22,FALSE),4),0) -IF(ISNUMBER(VLOOKUP("2",A2:AD112,22,FALSE)),ROUND(VLOOKUP("2",A2:AD112,22,FALSE),4),0)</f>
        <v>3450000</v>
      </c>
      <c r="W26" s="4">
        <f>IF(ISNUMBER(VLOOKUP("1",A2:AD112,23,FALSE)),ROUND(VLOOKUP("1",A2:AD112,23,FALSE),4),0) -IF(ISNUMBER(VLOOKUP("2",A2:AD112,23,FALSE)),ROUND(VLOOKUP("2",A2:AD112,23,FALSE),4),0)</f>
        <v>3072553.4900000021</v>
      </c>
      <c r="X26" s="4">
        <f>IF(ISNUMBER(VLOOKUP("1",A2:AD112,24,FALSE)),ROUND(VLOOKUP("1",A2:AD112,24,FALSE),4),0) -IF(ISNUMBER(VLOOKUP("2",A2:AD112,24,FALSE)),ROUND(VLOOKUP("2",A2:AD112,24,FALSE),4),0)</f>
        <v>2200000</v>
      </c>
      <c r="Y26" s="4">
        <f>IF(ISNUMBER(VLOOKUP("1",A2:AD112,25,FALSE)),ROUND(VLOOKUP("1",A2:AD112,25,FALSE),4),0) -IF(ISNUMBER(VLOOKUP("2",A2:AD112,25,FALSE)),ROUND(VLOOKUP("2",A2:AD112,25,FALSE),4),0)</f>
        <v>2200000</v>
      </c>
      <c r="Z26" s="4">
        <f>IF(ISNUMBER(VLOOKUP("1",A2:AD112,26,FALSE)),ROUND(VLOOKUP("1",A2:AD112,26,FALSE),4),0) -IF(ISNUMBER(VLOOKUP("2",A2:AD112,26,FALSE)),ROUND(VLOOKUP("2",A2:AD112,26,FALSE),4),0)</f>
        <v>2200000</v>
      </c>
      <c r="AA26" s="4">
        <f>IF(ISNUMBER(VLOOKUP("1",A2:AD112,27,FALSE)),ROUND(VLOOKUP("1",A2:AD112,27,FALSE),4),0) -IF(ISNUMBER(VLOOKUP("2",A2:AD112,27,FALSE)),ROUND(VLOOKUP("2",A2:AD112,27,FALSE),4),0)</f>
        <v>2400000</v>
      </c>
      <c r="AB26" s="4">
        <f>IF(ISNUMBER(VLOOKUP("1",A2:AD112,28,FALSE)),ROUND(VLOOKUP("1",A2:AD112,28,FALSE),4),0) -IF(ISNUMBER(VLOOKUP("2",A2:AD112,28,FALSE)),ROUND(VLOOKUP("2",A2:AD112,28,FALSE),4),0)</f>
        <v>2450000</v>
      </c>
      <c r="AC26" s="4">
        <f>IF(ISNUMBER(VLOOKUP("1",A2:AD112,29,FALSE)),ROUND(VLOOKUP("1",A2:AD112,29,FALSE),4),0) -IF(ISNUMBER(VLOOKUP("2",A2:AD112,29,FALSE)),ROUND(VLOOKUP("2",A2:AD112,29,FALSE),4),0)</f>
        <v>2600000</v>
      </c>
      <c r="AD26" s="4">
        <f>IF(ISNUMBER(VLOOKUP("1",A2:AD112,30,FALSE)),ROUND(VLOOKUP("1",A2:AD112,30,FALSE),4),0) -IF(ISNUMBER(VLOOKUP("2",A2:AD112,30,FALSE)),ROUND(VLOOKUP("2",A2:AD112,30,FALSE),4),0)</f>
        <v>1975000</v>
      </c>
    </row>
    <row r="27" spans="1:30" ht="14.25" customHeight="1" x14ac:dyDescent="0.25">
      <c r="A27" s="2" t="s">
        <v>79</v>
      </c>
      <c r="B27" s="3" t="s">
        <v>80</v>
      </c>
      <c r="C27" s="4">
        <f>IF(ISNUMBER(VLOOKUP("4.1",A2:AD112,3,FALSE)),ROUND(VLOOKUP("4.1",A2:AD112,3,FALSE),4),0) + IF(ISNUMBER(VLOOKUP("4.2",A2:AD112,3,FALSE)),ROUND(VLOOKUP("4.2",A2:AD112,3,FALSE),4),0) + IF(ISNUMBER(VLOOKUP("4.3",A2:AD112,3,FALSE)),ROUND(VLOOKUP("4.3",A2:AD112,3,FALSE),4),0) + IF(ISNUMBER(VLOOKUP("4.4",A2:AD112,3,FALSE)),ROUND(VLOOKUP("4.4",A2:AD112,3,FALSE),4),0)</f>
        <v>6063166.8600000003</v>
      </c>
      <c r="D27" s="4">
        <f>IF(ISNUMBER(VLOOKUP("4.1",A2:AD112,4,FALSE)),ROUND(VLOOKUP("4.1",A2:AD112,4,FALSE),4),0) + IF(ISNUMBER(VLOOKUP("4.2",A2:AD112,4,FALSE)),ROUND(VLOOKUP("4.2",A2:AD112,4,FALSE),4),0) + IF(ISNUMBER(VLOOKUP("4.3",A2:AD112,4,FALSE)),ROUND(VLOOKUP("4.3",A2:AD112,4,FALSE),4),0) + IF(ISNUMBER(VLOOKUP("4.4",A2:AD112,4,FALSE)),ROUND(VLOOKUP("4.4",A2:AD112,4,FALSE),4),0)</f>
        <v>6343330.6899999995</v>
      </c>
      <c r="E27" s="4">
        <f>IF(ISNUMBER(VLOOKUP("4.1",A2:AD112,5,FALSE)),ROUND(VLOOKUP("4.1",A2:AD112,5,FALSE),4),0) + IF(ISNUMBER(VLOOKUP("4.2",A2:AD112,5,FALSE)),ROUND(VLOOKUP("4.2",A2:AD112,5,FALSE),4),0) + IF(ISNUMBER(VLOOKUP("4.3",A2:AD112,5,FALSE)),ROUND(VLOOKUP("4.3",A2:AD112,5,FALSE),4),0) + IF(ISNUMBER(VLOOKUP("4.4",A2:AD112,5,FALSE)),ROUND(VLOOKUP("4.4",A2:AD112,5,FALSE),4),0)</f>
        <v>12031626</v>
      </c>
      <c r="F27" s="4">
        <f>IF(ISNUMBER(VLOOKUP("4.1",A2:AD112,6,FALSE)),ROUND(VLOOKUP("4.1",A2:AD112,6,FALSE),4),0) + IF(ISNUMBER(VLOOKUP("4.2",A2:AD112,6,FALSE)),ROUND(VLOOKUP("4.2",A2:AD112,6,FALSE),4),0) + IF(ISNUMBER(VLOOKUP("4.3",A2:AD112,6,FALSE)),ROUND(VLOOKUP("4.3",A2:AD112,6,FALSE),4),0) + IF(ISNUMBER(VLOOKUP("4.4",A2:AD112,6,FALSE)),ROUND(VLOOKUP("4.4",A2:AD112,6,FALSE),4),0)</f>
        <v>12031626</v>
      </c>
      <c r="G27" s="4">
        <f>IF(ISNUMBER(VLOOKUP("4.1",A2:AD112,7,FALSE)),ROUND(VLOOKUP("4.1",A2:AD112,7,FALSE),4),0) + IF(ISNUMBER(VLOOKUP("4.2",A2:AD112,7,FALSE)),ROUND(VLOOKUP("4.2",A2:AD112,7,FALSE),4),0) + IF(ISNUMBER(VLOOKUP("4.3",A2:AD112,7,FALSE)),ROUND(VLOOKUP("4.3",A2:AD112,7,FALSE),4),0) + IF(ISNUMBER(VLOOKUP("4.4",A2:AD112,7,FALSE)),ROUND(VLOOKUP("4.4",A2:AD112,7,FALSE),4),0)</f>
        <v>10906732.130000001</v>
      </c>
      <c r="H27" s="4">
        <f>IF(ISNUMBER(VLOOKUP("4.1",A2:AD112,8,FALSE)),ROUND(VLOOKUP("4.1",A2:AD112,8,FALSE),4),0) + IF(ISNUMBER(VLOOKUP("4.2",A2:AD112,8,FALSE)),ROUND(VLOOKUP("4.2",A2:AD112,8,FALSE),4),0) + IF(ISNUMBER(VLOOKUP("4.3",A2:AD112,8,FALSE)),ROUND(VLOOKUP("4.3",A2:AD112,8,FALSE),4),0) + IF(ISNUMBER(VLOOKUP("4.4",A2:AD112,8,FALSE)),ROUND(VLOOKUP("4.4",A2:AD112,8,FALSE),4),0)</f>
        <v>15447566.49</v>
      </c>
      <c r="I27" s="4">
        <f>IF(ISNUMBER(VLOOKUP("4.1",A2:AD112,9,FALSE)),ROUND(VLOOKUP("4.1",A2:AD112,9,FALSE),4),0) + IF(ISNUMBER(VLOOKUP("4.2",A2:AD112,9,FALSE)),ROUND(VLOOKUP("4.2",A2:AD112,9,FALSE),4),0) + IF(ISNUMBER(VLOOKUP("4.3",A2:AD112,9,FALSE)),ROUND(VLOOKUP("4.3",A2:AD112,9,FALSE),4),0) + IF(ISNUMBER(VLOOKUP("4.4",A2:AD112,9,FALSE)),ROUND(VLOOKUP("4.4",A2:AD112,9,FALSE),4),0)</f>
        <v>12485138.029999999</v>
      </c>
      <c r="J27" s="4">
        <f>IF(ISNUMBER(VLOOKUP("4.1",A2:AD112,10,FALSE)),ROUND(VLOOKUP("4.1",A2:AD112,10,FALSE),4),0) + IF(ISNUMBER(VLOOKUP("4.2",A2:AD112,10,FALSE)),ROUND(VLOOKUP("4.2",A2:AD112,10,FALSE),4),0) + IF(ISNUMBER(VLOOKUP("4.3",A2:AD112,10,FALSE)),ROUND(VLOOKUP("4.3",A2:AD112,10,FALSE),4),0) + IF(ISNUMBER(VLOOKUP("4.4",A2:AD112,10,FALSE)),ROUND(VLOOKUP("4.4",A2:AD112,10,FALSE),4),0)</f>
        <v>11509989.310000001</v>
      </c>
      <c r="K27" s="4">
        <f>IF(ISNUMBER(VLOOKUP("4.1",A2:AD112,11,FALSE)),ROUND(VLOOKUP("4.1",A2:AD112,11,FALSE),4),0) + IF(ISNUMBER(VLOOKUP("4.2",A2:AD112,11,FALSE)),ROUND(VLOOKUP("4.2",A2:AD112,11,FALSE),4),0) + IF(ISNUMBER(VLOOKUP("4.3",A2:AD112,11,FALSE)),ROUND(VLOOKUP("4.3",A2:AD112,11,FALSE),4),0) + IF(ISNUMBER(VLOOKUP("4.4",A2:AD112,11,FALSE)),ROUND(VLOOKUP("4.4",A2:AD112,11,FALSE),4),0)</f>
        <v>1479874.54</v>
      </c>
      <c r="L27" s="4">
        <f>IF(ISNUMBER(VLOOKUP("4.1",A2:AD112,12,FALSE)),ROUND(VLOOKUP("4.1",A2:AD112,12,FALSE),4),0) + IF(ISNUMBER(VLOOKUP("4.2",A2:AD112,12,FALSE)),ROUND(VLOOKUP("4.2",A2:AD112,12,FALSE),4),0) + IF(ISNUMBER(VLOOKUP("4.3",A2:AD112,12,FALSE)),ROUND(VLOOKUP("4.3",A2:AD112,12,FALSE),4),0) + IF(ISNUMBER(VLOOKUP("4.4",A2:AD112,12,FALSE)),ROUND(VLOOKUP("4.4",A2:AD112,12,FALSE),4),0)</f>
        <v>0</v>
      </c>
      <c r="M27" s="4">
        <f>IF(ISNUMBER(VLOOKUP("4.1",A2:AD112,13,FALSE)),ROUND(VLOOKUP("4.1",A2:AD112,13,FALSE),4),0) + IF(ISNUMBER(VLOOKUP("4.2",A2:AD112,13,FALSE)),ROUND(VLOOKUP("4.2",A2:AD112,13,FALSE),4),0) + IF(ISNUMBER(VLOOKUP("4.3",A2:AD112,13,FALSE)),ROUND(VLOOKUP("4.3",A2:AD112,13,FALSE),4),0) + IF(ISNUMBER(VLOOKUP("4.4",A2:AD112,13,FALSE)),ROUND(VLOOKUP("4.4",A2:AD112,13,FALSE),4),0)</f>
        <v>0</v>
      </c>
      <c r="N27" s="4">
        <f>IF(ISNUMBER(VLOOKUP("4.1",A2:AD112,14,FALSE)),ROUND(VLOOKUP("4.1",A2:AD112,14,FALSE),4),0) + IF(ISNUMBER(VLOOKUP("4.2",A2:AD112,14,FALSE)),ROUND(VLOOKUP("4.2",A2:AD112,14,FALSE),4),0) + IF(ISNUMBER(VLOOKUP("4.3",A2:AD112,14,FALSE)),ROUND(VLOOKUP("4.3",A2:AD112,14,FALSE),4),0) + IF(ISNUMBER(VLOOKUP("4.4",A2:AD112,14,FALSE)),ROUND(VLOOKUP("4.4",A2:AD112,14,FALSE),4),0)</f>
        <v>0</v>
      </c>
      <c r="O27" s="4">
        <f>IF(ISNUMBER(VLOOKUP("4.1",A2:AD112,15,FALSE)),ROUND(VLOOKUP("4.1",A2:AD112,15,FALSE),4),0) + IF(ISNUMBER(VLOOKUP("4.2",A2:AD112,15,FALSE)),ROUND(VLOOKUP("4.2",A2:AD112,15,FALSE),4),0) + IF(ISNUMBER(VLOOKUP("4.3",A2:AD112,15,FALSE)),ROUND(VLOOKUP("4.3",A2:AD112,15,FALSE),4),0) + IF(ISNUMBER(VLOOKUP("4.4",A2:AD112,15,FALSE)),ROUND(VLOOKUP("4.4",A2:AD112,15,FALSE),4),0)</f>
        <v>0</v>
      </c>
      <c r="P27" s="4">
        <f>IF(ISNUMBER(VLOOKUP("4.1",A2:AD112,16,FALSE)),ROUND(VLOOKUP("4.1",A2:AD112,16,FALSE),4),0) + IF(ISNUMBER(VLOOKUP("4.2",A2:AD112,16,FALSE)),ROUND(VLOOKUP("4.2",A2:AD112,16,FALSE),4),0) + IF(ISNUMBER(VLOOKUP("4.3",A2:AD112,16,FALSE)),ROUND(VLOOKUP("4.3",A2:AD112,16,FALSE),4),0) + IF(ISNUMBER(VLOOKUP("4.4",A2:AD112,16,FALSE)),ROUND(VLOOKUP("4.4",A2:AD112,16,FALSE),4),0)</f>
        <v>0</v>
      </c>
      <c r="Q27" s="4">
        <f>IF(ISNUMBER(VLOOKUP("4.1",A2:AD112,17,FALSE)),ROUND(VLOOKUP("4.1",A2:AD112,17,FALSE),4),0) + IF(ISNUMBER(VLOOKUP("4.2",A2:AD112,17,FALSE)),ROUND(VLOOKUP("4.2",A2:AD112,17,FALSE),4),0) + IF(ISNUMBER(VLOOKUP("4.3",A2:AD112,17,FALSE)),ROUND(VLOOKUP("4.3",A2:AD112,17,FALSE),4),0) + IF(ISNUMBER(VLOOKUP("4.4",A2:AD112,17,FALSE)),ROUND(VLOOKUP("4.4",A2:AD112,17,FALSE),4),0)</f>
        <v>0</v>
      </c>
      <c r="R27" s="4">
        <f>IF(ISNUMBER(VLOOKUP("4.1",A2:AD112,18,FALSE)),ROUND(VLOOKUP("4.1",A2:AD112,18,FALSE),4),0) + IF(ISNUMBER(VLOOKUP("4.2",A2:AD112,18,FALSE)),ROUND(VLOOKUP("4.2",A2:AD112,18,FALSE),4),0) + IF(ISNUMBER(VLOOKUP("4.3",A2:AD112,18,FALSE)),ROUND(VLOOKUP("4.3",A2:AD112,18,FALSE),4),0) + IF(ISNUMBER(VLOOKUP("4.4",A2:AD112,18,FALSE)),ROUND(VLOOKUP("4.4",A2:AD112,18,FALSE),4),0)</f>
        <v>0</v>
      </c>
      <c r="S27" s="4">
        <f>IF(ISNUMBER(VLOOKUP("4.1",A2:AD112,19,FALSE)),ROUND(VLOOKUP("4.1",A2:AD112,19,FALSE),4),0) + IF(ISNUMBER(VLOOKUP("4.2",A2:AD112,19,FALSE)),ROUND(VLOOKUP("4.2",A2:AD112,19,FALSE),4),0) + IF(ISNUMBER(VLOOKUP("4.3",A2:AD112,19,FALSE)),ROUND(VLOOKUP("4.3",A2:AD112,19,FALSE),4),0) + IF(ISNUMBER(VLOOKUP("4.4",A2:AD112,19,FALSE)),ROUND(VLOOKUP("4.4",A2:AD112,19,FALSE),4),0)</f>
        <v>0</v>
      </c>
      <c r="T27" s="4">
        <f>IF(ISNUMBER(VLOOKUP("4.1",A2:AD112,20,FALSE)),ROUND(VLOOKUP("4.1",A2:AD112,20,FALSE),4),0) + IF(ISNUMBER(VLOOKUP("4.2",A2:AD112,20,FALSE)),ROUND(VLOOKUP("4.2",A2:AD112,20,FALSE),4),0) + IF(ISNUMBER(VLOOKUP("4.3",A2:AD112,20,FALSE)),ROUND(VLOOKUP("4.3",A2:AD112,20,FALSE),4),0) + IF(ISNUMBER(VLOOKUP("4.4",A2:AD112,20,FALSE)),ROUND(VLOOKUP("4.4",A2:AD112,20,FALSE),4),0)</f>
        <v>0</v>
      </c>
      <c r="U27" s="4">
        <f>IF(ISNUMBER(VLOOKUP("4.1",A2:AD112,21,FALSE)),ROUND(VLOOKUP("4.1",A2:AD112,21,FALSE),4),0) + IF(ISNUMBER(VLOOKUP("4.2",A2:AD112,21,FALSE)),ROUND(VLOOKUP("4.2",A2:AD112,21,FALSE),4),0) + IF(ISNUMBER(VLOOKUP("4.3",A2:AD112,21,FALSE)),ROUND(VLOOKUP("4.3",A2:AD112,21,FALSE),4),0) + IF(ISNUMBER(VLOOKUP("4.4",A2:AD112,21,FALSE)),ROUND(VLOOKUP("4.4",A2:AD112,21,FALSE),4),0)</f>
        <v>0</v>
      </c>
      <c r="V27" s="4">
        <f>IF(ISNUMBER(VLOOKUP("4.1",A2:AD112,22,FALSE)),ROUND(VLOOKUP("4.1",A2:AD112,22,FALSE),4),0) + IF(ISNUMBER(VLOOKUP("4.2",A2:AD112,22,FALSE)),ROUND(VLOOKUP("4.2",A2:AD112,22,FALSE),4),0) + IF(ISNUMBER(VLOOKUP("4.3",A2:AD112,22,FALSE)),ROUND(VLOOKUP("4.3",A2:AD112,22,FALSE),4),0) + IF(ISNUMBER(VLOOKUP("4.4",A2:AD112,22,FALSE)),ROUND(VLOOKUP("4.4",A2:AD112,22,FALSE),4),0)</f>
        <v>0</v>
      </c>
      <c r="W27" s="4">
        <f>IF(ISNUMBER(VLOOKUP("4.1",A2:AD112,23,FALSE)),ROUND(VLOOKUP("4.1",A2:AD112,23,FALSE),4),0) + IF(ISNUMBER(VLOOKUP("4.2",A2:AD112,23,FALSE)),ROUND(VLOOKUP("4.2",A2:AD112,23,FALSE),4),0) + IF(ISNUMBER(VLOOKUP("4.3",A2:AD112,23,FALSE)),ROUND(VLOOKUP("4.3",A2:AD112,23,FALSE),4),0) + IF(ISNUMBER(VLOOKUP("4.4",A2:AD112,23,FALSE)),ROUND(VLOOKUP("4.4",A2:AD112,23,FALSE),4),0)</f>
        <v>0</v>
      </c>
      <c r="X27" s="4">
        <f>IF(ISNUMBER(VLOOKUP("4.1",A2:AD112,24,FALSE)),ROUND(VLOOKUP("4.1",A2:AD112,24,FALSE),4),0) + IF(ISNUMBER(VLOOKUP("4.2",A2:AD112,24,FALSE)),ROUND(VLOOKUP("4.2",A2:AD112,24,FALSE),4),0) + IF(ISNUMBER(VLOOKUP("4.3",A2:AD112,24,FALSE)),ROUND(VLOOKUP("4.3",A2:AD112,24,FALSE),4),0) + IF(ISNUMBER(VLOOKUP("4.4",A2:AD112,24,FALSE)),ROUND(VLOOKUP("4.4",A2:AD112,24,FALSE),4),0)</f>
        <v>0</v>
      </c>
      <c r="Y27" s="4">
        <f>IF(ISNUMBER(VLOOKUP("4.1",A2:AD112,25,FALSE)),ROUND(VLOOKUP("4.1",A2:AD112,25,FALSE),4),0) + IF(ISNUMBER(VLOOKUP("4.2",A2:AD112,25,FALSE)),ROUND(VLOOKUP("4.2",A2:AD112,25,FALSE),4),0) + IF(ISNUMBER(VLOOKUP("4.3",A2:AD112,25,FALSE)),ROUND(VLOOKUP("4.3",A2:AD112,25,FALSE),4),0) + IF(ISNUMBER(VLOOKUP("4.4",A2:AD112,25,FALSE)),ROUND(VLOOKUP("4.4",A2:AD112,25,FALSE),4),0)</f>
        <v>0</v>
      </c>
      <c r="Z27" s="4">
        <f>IF(ISNUMBER(VLOOKUP("4.1",A2:AD112,26,FALSE)),ROUND(VLOOKUP("4.1",A2:AD112,26,FALSE),4),0) + IF(ISNUMBER(VLOOKUP("4.2",A2:AD112,26,FALSE)),ROUND(VLOOKUP("4.2",A2:AD112,26,FALSE),4),0) + IF(ISNUMBER(VLOOKUP("4.3",A2:AD112,26,FALSE)),ROUND(VLOOKUP("4.3",A2:AD112,26,FALSE),4),0) + IF(ISNUMBER(VLOOKUP("4.4",A2:AD112,26,FALSE)),ROUND(VLOOKUP("4.4",A2:AD112,26,FALSE),4),0)</f>
        <v>0</v>
      </c>
      <c r="AA27" s="4">
        <f>IF(ISNUMBER(VLOOKUP("4.1",A2:AD112,27,FALSE)),ROUND(VLOOKUP("4.1",A2:AD112,27,FALSE),4),0) + IF(ISNUMBER(VLOOKUP("4.2",A2:AD112,27,FALSE)),ROUND(VLOOKUP("4.2",A2:AD112,27,FALSE),4),0) + IF(ISNUMBER(VLOOKUP("4.3",A2:AD112,27,FALSE)),ROUND(VLOOKUP("4.3",A2:AD112,27,FALSE),4),0) + IF(ISNUMBER(VLOOKUP("4.4",A2:AD112,27,FALSE)),ROUND(VLOOKUP("4.4",A2:AD112,27,FALSE),4),0)</f>
        <v>0</v>
      </c>
      <c r="AB27" s="4">
        <f>IF(ISNUMBER(VLOOKUP("4.1",A2:AD112,28,FALSE)),ROUND(VLOOKUP("4.1",A2:AD112,28,FALSE),4),0) + IF(ISNUMBER(VLOOKUP("4.2",A2:AD112,28,FALSE)),ROUND(VLOOKUP("4.2",A2:AD112,28,FALSE),4),0) + IF(ISNUMBER(VLOOKUP("4.3",A2:AD112,28,FALSE)),ROUND(VLOOKUP("4.3",A2:AD112,28,FALSE),4),0) + IF(ISNUMBER(VLOOKUP("4.4",A2:AD112,28,FALSE)),ROUND(VLOOKUP("4.4",A2:AD112,28,FALSE),4),0)</f>
        <v>0</v>
      </c>
      <c r="AC27" s="4">
        <f>IF(ISNUMBER(VLOOKUP("4.1",A2:AD112,29,FALSE)),ROUND(VLOOKUP("4.1",A2:AD112,29,FALSE),4),0) + IF(ISNUMBER(VLOOKUP("4.2",A2:AD112,29,FALSE)),ROUND(VLOOKUP("4.2",A2:AD112,29,FALSE),4),0) + IF(ISNUMBER(VLOOKUP("4.3",A2:AD112,29,FALSE)),ROUND(VLOOKUP("4.3",A2:AD112,29,FALSE),4),0) + IF(ISNUMBER(VLOOKUP("4.4",A2:AD112,29,FALSE)),ROUND(VLOOKUP("4.4",A2:AD112,29,FALSE),4),0)</f>
        <v>0</v>
      </c>
      <c r="AD27" s="4">
        <f>IF(ISNUMBER(VLOOKUP("4.1",A2:AD112,30,FALSE)),ROUND(VLOOKUP("4.1",A2:AD112,30,FALSE),4),0) + IF(ISNUMBER(VLOOKUP("4.2",A2:AD112,30,FALSE)),ROUND(VLOOKUP("4.2",A2:AD112,30,FALSE),4),0) + IF(ISNUMBER(VLOOKUP("4.3",A2:AD112,30,FALSE)),ROUND(VLOOKUP("4.3",A2:AD112,30,FALSE),4),0) + IF(ISNUMBER(VLOOKUP("4.4",A2:AD112,30,FALSE)),ROUND(VLOOKUP("4.4",A2:AD112,30,FALSE),4),0)</f>
        <v>0</v>
      </c>
    </row>
    <row r="28" spans="1:30" ht="14.25" customHeight="1" x14ac:dyDescent="0.25">
      <c r="A28" s="2" t="s">
        <v>81</v>
      </c>
      <c r="B28" s="3" t="s">
        <v>82</v>
      </c>
      <c r="C28" s="10">
        <v>0</v>
      </c>
      <c r="D28" s="10">
        <v>0</v>
      </c>
      <c r="E28" s="10">
        <v>0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</row>
    <row r="29" spans="1:30" ht="14.25" customHeight="1" x14ac:dyDescent="0.25">
      <c r="A29" s="5" t="s">
        <v>83</v>
      </c>
      <c r="B29" s="6" t="s">
        <v>84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</row>
    <row r="30" spans="1:30" ht="14.25" customHeight="1" x14ac:dyDescent="0.25">
      <c r="A30" s="5" t="s">
        <v>85</v>
      </c>
      <c r="B30" s="6" t="s">
        <v>86</v>
      </c>
      <c r="C30" s="7">
        <v>2034466.86</v>
      </c>
      <c r="D30" s="7">
        <v>2661432.98</v>
      </c>
      <c r="E30" s="7">
        <v>3271626</v>
      </c>
      <c r="F30" s="7">
        <v>3271626</v>
      </c>
      <c r="G30" s="8">
        <v>373668.82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</row>
    <row r="31" spans="1:30" ht="14.25" customHeight="1" x14ac:dyDescent="0.25">
      <c r="A31" s="5" t="s">
        <v>87</v>
      </c>
      <c r="B31" s="6" t="s">
        <v>84</v>
      </c>
      <c r="C31" s="9">
        <v>2034466.86</v>
      </c>
      <c r="D31" s="9">
        <v>2194598.4300000002</v>
      </c>
      <c r="E31" s="9">
        <v>3271626</v>
      </c>
      <c r="F31" s="9">
        <v>3271626</v>
      </c>
      <c r="G31" s="9">
        <v>373668.82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</row>
    <row r="32" spans="1:30" ht="14.25" customHeight="1" x14ac:dyDescent="0.25">
      <c r="A32" s="2" t="s">
        <v>88</v>
      </c>
      <c r="B32" s="3" t="s">
        <v>89</v>
      </c>
      <c r="C32" s="4">
        <v>3998700</v>
      </c>
      <c r="D32" s="4">
        <v>3621897.71</v>
      </c>
      <c r="E32" s="4">
        <v>8700000</v>
      </c>
      <c r="F32" s="4">
        <v>8700000</v>
      </c>
      <c r="G32" s="4">
        <v>10473063.310000001</v>
      </c>
      <c r="H32" s="4">
        <v>15387566.49</v>
      </c>
      <c r="I32" s="4">
        <v>12485138.029999999</v>
      </c>
      <c r="J32" s="4">
        <v>11509989.310000001</v>
      </c>
      <c r="K32" s="4">
        <v>1479874.54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</row>
    <row r="33" spans="1:30" ht="14.25" customHeight="1" x14ac:dyDescent="0.25">
      <c r="A33" s="5" t="s">
        <v>90</v>
      </c>
      <c r="B33" s="6" t="s">
        <v>84</v>
      </c>
      <c r="C33" s="9">
        <v>416756.3</v>
      </c>
      <c r="D33" s="9">
        <v>0</v>
      </c>
      <c r="E33" s="9">
        <v>8700000</v>
      </c>
      <c r="F33" s="9">
        <v>6392848.6600000001</v>
      </c>
      <c r="G33" s="9">
        <v>7933248.3099999996</v>
      </c>
      <c r="H33" s="9">
        <v>12420706.49</v>
      </c>
      <c r="I33" s="9">
        <v>9609278.0299999993</v>
      </c>
      <c r="J33" s="9">
        <v>8240129.3099999996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</row>
    <row r="34" spans="1:30" ht="14.25" customHeight="1" x14ac:dyDescent="0.25">
      <c r="A34" s="2" t="s">
        <v>91</v>
      </c>
      <c r="B34" s="3" t="s">
        <v>92</v>
      </c>
      <c r="C34" s="10">
        <v>30000</v>
      </c>
      <c r="D34" s="10">
        <v>60000</v>
      </c>
      <c r="E34" s="10">
        <v>60000</v>
      </c>
      <c r="F34" s="10">
        <v>60000</v>
      </c>
      <c r="G34" s="11">
        <v>60000</v>
      </c>
      <c r="H34" s="11">
        <v>60000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</row>
    <row r="35" spans="1:30" ht="14.25" customHeight="1" x14ac:dyDescent="0.25">
      <c r="A35" s="5" t="s">
        <v>93</v>
      </c>
      <c r="B35" s="6" t="s">
        <v>84</v>
      </c>
      <c r="C35" s="9">
        <v>0</v>
      </c>
      <c r="D35" s="9">
        <v>0</v>
      </c>
      <c r="E35" s="9">
        <v>60000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</row>
    <row r="36" spans="1:30" ht="14.25" customHeight="1" x14ac:dyDescent="0.25">
      <c r="A36" s="2" t="s">
        <v>94</v>
      </c>
      <c r="B36" s="3" t="s">
        <v>95</v>
      </c>
      <c r="C36" s="4">
        <f>IF(ISNUMBER(VLOOKUP("5.1",A2:AD112,3,FALSE)),ROUND(VLOOKUP("5.1",A2:AD112,3,FALSE),4),0) + IF(ISNUMBER(VLOOKUP("5.2",A2:AD112,3,FALSE)),ROUND(VLOOKUP("5.2",A2:AD112,3,FALSE),4),0)</f>
        <v>812090</v>
      </c>
      <c r="D36" s="4">
        <f>IF(ISNUMBER(VLOOKUP("5.1",A2:AD112,4,FALSE)),ROUND(VLOOKUP("5.1",A2:AD112,4,FALSE),4),0) + IF(ISNUMBER(VLOOKUP("5.2",A2:AD112,4,FALSE)),ROUND(VLOOKUP("5.2",A2:AD112,4,FALSE),4),0)</f>
        <v>812090</v>
      </c>
      <c r="E36" s="4">
        <f>IF(ISNUMBER(VLOOKUP("5.1",A2:AD112,5,FALSE)),ROUND(VLOOKUP("5.1",A2:AD112,5,FALSE),4),0) + IF(ISNUMBER(VLOOKUP("5.2",A2:AD112,5,FALSE)),ROUND(VLOOKUP("5.2",A2:AD112,5,FALSE),4),0)</f>
        <v>1675088.18</v>
      </c>
      <c r="F36" s="4">
        <f>IF(ISNUMBER(VLOOKUP("5.1",A2:AD112,6,FALSE)),ROUND(VLOOKUP("5.1",A2:AD112,6,FALSE),4),0) + IF(ISNUMBER(VLOOKUP("5.2",A2:AD112,6,FALSE)),ROUND(VLOOKUP("5.2",A2:AD112,6,FALSE),4),0)</f>
        <v>1675088.18</v>
      </c>
      <c r="G36" s="4">
        <f>IF(ISNUMBER(VLOOKUP("5.1",A2:AD112,7,FALSE)),ROUND(VLOOKUP("5.1",A2:AD112,7,FALSE),4),0) + IF(ISNUMBER(VLOOKUP("5.2",A2:AD112,7,FALSE)),ROUND(VLOOKUP("5.2",A2:AD112,7,FALSE),4),0)</f>
        <v>2599815</v>
      </c>
      <c r="H36" s="4">
        <f>IF(ISNUMBER(VLOOKUP("5.1",A2:AD112,8,FALSE)),ROUND(VLOOKUP("5.1",A2:AD112,8,FALSE),4),0) + IF(ISNUMBER(VLOOKUP("5.2",A2:AD112,8,FALSE)),ROUND(VLOOKUP("5.2",A2:AD112,8,FALSE),4),0)</f>
        <v>3026860</v>
      </c>
      <c r="I36" s="4">
        <f>IF(ISNUMBER(VLOOKUP("5.1",A2:AD112,9,FALSE)),ROUND(VLOOKUP("5.1",A2:AD112,9,FALSE),4),0) + IF(ISNUMBER(VLOOKUP("5.2",A2:AD112,9,FALSE)),ROUND(VLOOKUP("5.2",A2:AD112,9,FALSE),4),0)</f>
        <v>2875860</v>
      </c>
      <c r="J36" s="4">
        <f>IF(ISNUMBER(VLOOKUP("5.1",A2:AD112,10,FALSE)),ROUND(VLOOKUP("5.1",A2:AD112,10,FALSE),4),0) + IF(ISNUMBER(VLOOKUP("5.2",A2:AD112,10,FALSE)),ROUND(VLOOKUP("5.2",A2:AD112,10,FALSE),4),0)</f>
        <v>3269860</v>
      </c>
      <c r="K36" s="4">
        <f>IF(ISNUMBER(VLOOKUP("5.1",A2:AD112,11,FALSE)),ROUND(VLOOKUP("5.1",A2:AD112,11,FALSE),4),0) + IF(ISNUMBER(VLOOKUP("5.2",A2:AD112,11,FALSE)),ROUND(VLOOKUP("5.2",A2:AD112,11,FALSE),4),0)</f>
        <v>3615860</v>
      </c>
      <c r="L36" s="4">
        <f>IF(ISNUMBER(VLOOKUP("5.1",A2:AD112,12,FALSE)),ROUND(VLOOKUP("5.1",A2:AD112,12,FALSE),4),0) + IF(ISNUMBER(VLOOKUP("5.2",A2:AD112,12,FALSE)),ROUND(VLOOKUP("5.2",A2:AD112,12,FALSE),4),0)</f>
        <v>2794860</v>
      </c>
      <c r="M36" s="4">
        <f>IF(ISNUMBER(VLOOKUP("5.1",A2:AD112,13,FALSE)),ROUND(VLOOKUP("5.1",A2:AD112,13,FALSE),4),0) + IF(ISNUMBER(VLOOKUP("5.2",A2:AD112,13,FALSE)),ROUND(VLOOKUP("5.2",A2:AD112,13,FALSE),4),0)</f>
        <v>3869860</v>
      </c>
      <c r="N36" s="4">
        <f>IF(ISNUMBER(VLOOKUP("5.1",A2:AD112,14,FALSE)),ROUND(VLOOKUP("5.1",A2:AD112,14,FALSE),4),0) + IF(ISNUMBER(VLOOKUP("5.2",A2:AD112,14,FALSE)),ROUND(VLOOKUP("5.2",A2:AD112,14,FALSE),4),0)</f>
        <v>4082770</v>
      </c>
      <c r="O36" s="4">
        <f>IF(ISNUMBER(VLOOKUP("5.1",A2:AD112,15,FALSE)),ROUND(VLOOKUP("5.1",A2:AD112,15,FALSE),4),0) + IF(ISNUMBER(VLOOKUP("5.2",A2:AD112,15,FALSE)),ROUND(VLOOKUP("5.2",A2:AD112,15,FALSE),4),0)</f>
        <v>4182770</v>
      </c>
      <c r="P36" s="4">
        <f>IF(ISNUMBER(VLOOKUP("5.1",A2:AD112,16,FALSE)),ROUND(VLOOKUP("5.1",A2:AD112,16,FALSE),4),0) + IF(ISNUMBER(VLOOKUP("5.2",A2:AD112,16,FALSE)),ROUND(VLOOKUP("5.2",A2:AD112,16,FALSE),4),0)</f>
        <v>4258192.5</v>
      </c>
      <c r="Q36" s="4">
        <f>IF(ISNUMBER(VLOOKUP("5.1",A2:AD112,17,FALSE)),ROUND(VLOOKUP("5.1",A2:AD112,17,FALSE),4),0) + IF(ISNUMBER(VLOOKUP("5.2",A2:AD112,17,FALSE)),ROUND(VLOOKUP("5.2",A2:AD112,17,FALSE),4),0)</f>
        <v>5935850.8700000001</v>
      </c>
      <c r="R36" s="4">
        <f>IF(ISNUMBER(VLOOKUP("5.1",A2:AD112,18,FALSE)),ROUND(VLOOKUP("5.1",A2:AD112,18,FALSE),4),0) + IF(ISNUMBER(VLOOKUP("5.2",A2:AD112,18,FALSE)),ROUND(VLOOKUP("5.2",A2:AD112,18,FALSE),4),0)</f>
        <v>4880000</v>
      </c>
      <c r="S36" s="4">
        <f>IF(ISNUMBER(VLOOKUP("5.1",A2:AD112,19,FALSE)),ROUND(VLOOKUP("5.1",A2:AD112,19,FALSE),4),0) + IF(ISNUMBER(VLOOKUP("5.2",A2:AD112,19,FALSE)),ROUND(VLOOKUP("5.2",A2:AD112,19,FALSE),4),0)</f>
        <v>4353125.03</v>
      </c>
      <c r="T36" s="4">
        <f>IF(ISNUMBER(VLOOKUP("5.1",A2:AD112,20,FALSE)),ROUND(VLOOKUP("5.1",A2:AD112,20,FALSE),4),0) + IF(ISNUMBER(VLOOKUP("5.2",A2:AD112,20,FALSE)),ROUND(VLOOKUP("5.2",A2:AD112,20,FALSE),4),0)</f>
        <v>3950000</v>
      </c>
      <c r="U36" s="4">
        <f>IF(ISNUMBER(VLOOKUP("5.1",A2:AD112,21,FALSE)),ROUND(VLOOKUP("5.1",A2:AD112,21,FALSE),4),0) + IF(ISNUMBER(VLOOKUP("5.2",A2:AD112,21,FALSE)),ROUND(VLOOKUP("5.2",A2:AD112,21,FALSE),4),0)</f>
        <v>4021000</v>
      </c>
      <c r="V36" s="4">
        <f>IF(ISNUMBER(VLOOKUP("5.1",A2:AD112,22,FALSE)),ROUND(VLOOKUP("5.1",A2:AD112,22,FALSE),4),0) + IF(ISNUMBER(VLOOKUP("5.2",A2:AD112,22,FALSE)),ROUND(VLOOKUP("5.2",A2:AD112,22,FALSE),4),0)</f>
        <v>3450000</v>
      </c>
      <c r="W36" s="4">
        <f>IF(ISNUMBER(VLOOKUP("5.1",A2:AD112,23,FALSE)),ROUND(VLOOKUP("5.1",A2:AD112,23,FALSE),4),0) + IF(ISNUMBER(VLOOKUP("5.2",A2:AD112,23,FALSE)),ROUND(VLOOKUP("5.2",A2:AD112,23,FALSE),4),0)</f>
        <v>3072553.49</v>
      </c>
      <c r="X36" s="4">
        <f>IF(ISNUMBER(VLOOKUP("5.1",A2:AD112,24,FALSE)),ROUND(VLOOKUP("5.1",A2:AD112,24,FALSE),4),0) + IF(ISNUMBER(VLOOKUP("5.2",A2:AD112,24,FALSE)),ROUND(VLOOKUP("5.2",A2:AD112,24,FALSE),4),0)</f>
        <v>2200000</v>
      </c>
      <c r="Y36" s="4">
        <f>IF(ISNUMBER(VLOOKUP("5.1",A2:AD112,25,FALSE)),ROUND(VLOOKUP("5.1",A2:AD112,25,FALSE),4),0) + IF(ISNUMBER(VLOOKUP("5.2",A2:AD112,25,FALSE)),ROUND(VLOOKUP("5.2",A2:AD112,25,FALSE),4),0)</f>
        <v>2200000</v>
      </c>
      <c r="Z36" s="4">
        <f>IF(ISNUMBER(VLOOKUP("5.1",A2:AD112,26,FALSE)),ROUND(VLOOKUP("5.1",A2:AD112,26,FALSE),4),0) + IF(ISNUMBER(VLOOKUP("5.2",A2:AD112,26,FALSE)),ROUND(VLOOKUP("5.2",A2:AD112,26,FALSE),4),0)</f>
        <v>2200000</v>
      </c>
      <c r="AA36" s="4">
        <f>IF(ISNUMBER(VLOOKUP("5.1",A2:AD112,27,FALSE)),ROUND(VLOOKUP("5.1",A2:AD112,27,FALSE),4),0) + IF(ISNUMBER(VLOOKUP("5.2",A2:AD112,27,FALSE)),ROUND(VLOOKUP("5.2",A2:AD112,27,FALSE),4),0)</f>
        <v>2400000</v>
      </c>
      <c r="AB36" s="4">
        <f>IF(ISNUMBER(VLOOKUP("5.1",A2:AD112,28,FALSE)),ROUND(VLOOKUP("5.1",A2:AD112,28,FALSE),4),0) + IF(ISNUMBER(VLOOKUP("5.2",A2:AD112,28,FALSE)),ROUND(VLOOKUP("5.2",A2:AD112,28,FALSE),4),0)</f>
        <v>2450000</v>
      </c>
      <c r="AC36" s="4">
        <f>IF(ISNUMBER(VLOOKUP("5.1",A2:AD112,29,FALSE)),ROUND(VLOOKUP("5.1",A2:AD112,29,FALSE),4),0) + IF(ISNUMBER(VLOOKUP("5.2",A2:AD112,29,FALSE)),ROUND(VLOOKUP("5.2",A2:AD112,29,FALSE),4),0)</f>
        <v>2600000</v>
      </c>
      <c r="AD36" s="4">
        <f>IF(ISNUMBER(VLOOKUP("5.1",A2:AD112,30,FALSE)),ROUND(VLOOKUP("5.1",A2:AD112,30,FALSE),4),0) + IF(ISNUMBER(VLOOKUP("5.2",A2:AD112,30,FALSE)),ROUND(VLOOKUP("5.2",A2:AD112,30,FALSE),4),0)</f>
        <v>1975000</v>
      </c>
    </row>
    <row r="37" spans="1:30" ht="27" customHeight="1" x14ac:dyDescent="0.25">
      <c r="A37" s="2" t="s">
        <v>96</v>
      </c>
      <c r="B37" s="3" t="s">
        <v>97</v>
      </c>
      <c r="C37" s="4">
        <v>812090</v>
      </c>
      <c r="D37" s="4">
        <v>812090</v>
      </c>
      <c r="E37" s="4">
        <v>1675088.18</v>
      </c>
      <c r="F37" s="4">
        <v>1675088.18</v>
      </c>
      <c r="G37" s="4">
        <v>2599815</v>
      </c>
      <c r="H37" s="4">
        <v>3026860</v>
      </c>
      <c r="I37" s="4">
        <v>2875860</v>
      </c>
      <c r="J37" s="4">
        <v>3269860</v>
      </c>
      <c r="K37" s="4">
        <v>3615860</v>
      </c>
      <c r="L37" s="4">
        <v>2794860</v>
      </c>
      <c r="M37" s="4">
        <v>3869860</v>
      </c>
      <c r="N37" s="4">
        <v>4082770</v>
      </c>
      <c r="O37" s="4">
        <v>4182770</v>
      </c>
      <c r="P37" s="4">
        <v>4258192.5</v>
      </c>
      <c r="Q37" s="4">
        <v>5935850.8700000001</v>
      </c>
      <c r="R37" s="4">
        <v>4880000</v>
      </c>
      <c r="S37" s="4">
        <v>4353125.03</v>
      </c>
      <c r="T37" s="4">
        <v>3950000</v>
      </c>
      <c r="U37" s="4">
        <v>4021000</v>
      </c>
      <c r="V37" s="4">
        <v>3450000</v>
      </c>
      <c r="W37" s="4">
        <v>3072553.49</v>
      </c>
      <c r="X37" s="4">
        <v>2200000</v>
      </c>
      <c r="Y37" s="4">
        <v>2200000</v>
      </c>
      <c r="Z37" s="4">
        <v>2200000</v>
      </c>
      <c r="AA37" s="4">
        <v>2400000</v>
      </c>
      <c r="AB37" s="4">
        <v>2450000</v>
      </c>
      <c r="AC37" s="4">
        <v>2600000</v>
      </c>
      <c r="AD37" s="4">
        <v>1975000</v>
      </c>
    </row>
    <row r="38" spans="1:30" ht="39.950000000000003" customHeight="1" x14ac:dyDescent="0.25">
      <c r="A38" s="5" t="s">
        <v>98</v>
      </c>
      <c r="B38" s="6" t="s">
        <v>99</v>
      </c>
      <c r="C38" s="9">
        <f>IF(ISNUMBER(VLOOKUP("5.1.1.1",A2:AD112,3,FALSE)),ROUND(VLOOKUP("5.1.1.1",A2:AD112,3,FALSE),4),0) + IF(ISNUMBER(VLOOKUP("5.1.1.2",A2:AD112,3,FALSE)),ROUND(VLOOKUP("5.1.1.2",A2:AD112,3,FALSE),4),0) + IF(ISNUMBER(VLOOKUP("5.1.1.3",A2:AD112,3,FALSE)),ROUND(VLOOKUP("5.1.1.3",A2:AD112,3,FALSE),4),0)</f>
        <v>0</v>
      </c>
      <c r="D38" s="9">
        <f>IF(ISNUMBER(VLOOKUP("5.1.1.1",A2:AD112,4,FALSE)),ROUND(VLOOKUP("5.1.1.1",A2:AD112,4,FALSE),4),0) + IF(ISNUMBER(VLOOKUP("5.1.1.2",A2:AD112,4,FALSE)),ROUND(VLOOKUP("5.1.1.2",A2:AD112,4,FALSE),4),0) + IF(ISNUMBER(VLOOKUP("5.1.1.3",A2:AD112,4,FALSE)),ROUND(VLOOKUP("5.1.1.3",A2:AD112,4,FALSE),4),0)</f>
        <v>0</v>
      </c>
      <c r="E38" s="9">
        <f>IF(ISNUMBER(VLOOKUP("5.1.1.1",A2:AD112,5,FALSE)),ROUND(VLOOKUP("5.1.1.1",A2:AD112,5,FALSE),4),0) + IF(ISNUMBER(VLOOKUP("5.1.1.2",A2:AD112,5,FALSE)),ROUND(VLOOKUP("5.1.1.2",A2:AD112,5,FALSE),4),0) + IF(ISNUMBER(VLOOKUP("5.1.1.3",A2:AD112,5,FALSE)),ROUND(VLOOKUP("5.1.1.3",A2:AD112,5,FALSE),4),0)</f>
        <v>204345.75</v>
      </c>
      <c r="F38" s="9">
        <f>IF(ISNUMBER(VLOOKUP("5.1.1.1",A2:AD112,6,FALSE)),ROUND(VLOOKUP("5.1.1.1",A2:AD112,6,FALSE),4),0) + IF(ISNUMBER(VLOOKUP("5.1.1.2",A2:AD112,6,FALSE)),ROUND(VLOOKUP("5.1.1.2",A2:AD112,6,FALSE),4),0) + IF(ISNUMBER(VLOOKUP("5.1.1.3",A2:AD112,6,FALSE)),ROUND(VLOOKUP("5.1.1.3",A2:AD112,6,FALSE),4),0)</f>
        <v>204345.75</v>
      </c>
      <c r="G38" s="9">
        <f>IF(ISNUMBER(VLOOKUP("5.1.1.1",A2:AD112,7,FALSE)),ROUND(VLOOKUP("5.1.1.1",A2:AD112,7,FALSE),4),0) + IF(ISNUMBER(VLOOKUP("5.1.1.2",A2:AD112,7,FALSE)),ROUND(VLOOKUP("5.1.1.2",A2:AD112,7,FALSE),4),0) + IF(ISNUMBER(VLOOKUP("5.1.1.3",A2:AD112,7,FALSE)),ROUND(VLOOKUP("5.1.1.3",A2:AD112,7,FALSE),4),0)</f>
        <v>821751.29</v>
      </c>
      <c r="H38" s="9">
        <f>IF(ISNUMBER(VLOOKUP("5.1.1.1",A2:AD112,8,FALSE)),ROUND(VLOOKUP("5.1.1.1",A2:AD112,8,FALSE),4),0) + IF(ISNUMBER(VLOOKUP("5.1.1.2",A2:AD112,8,FALSE)),ROUND(VLOOKUP("5.1.1.2",A2:AD112,8,FALSE),4),0) + IF(ISNUMBER(VLOOKUP("5.1.1.3",A2:AD112,8,FALSE)),ROUND(VLOOKUP("5.1.1.3",A2:AD112,8,FALSE),4),0)</f>
        <v>800000</v>
      </c>
      <c r="I38" s="9">
        <f>IF(ISNUMBER(VLOOKUP("5.1.1.1",A2:AD112,9,FALSE)),ROUND(VLOOKUP("5.1.1.1",A2:AD112,9,FALSE),4),0) + IF(ISNUMBER(VLOOKUP("5.1.1.2",A2:AD112,9,FALSE)),ROUND(VLOOKUP("5.1.1.2",A2:AD112,9,FALSE),4),0) + IF(ISNUMBER(VLOOKUP("5.1.1.3",A2:AD112,9,FALSE)),ROUND(VLOOKUP("5.1.1.3",A2:AD112,9,FALSE),4),0)</f>
        <v>1100000</v>
      </c>
      <c r="J38" s="9">
        <f>IF(ISNUMBER(VLOOKUP("5.1.1.1",A2:AD112,10,FALSE)),ROUND(VLOOKUP("5.1.1.1",A2:AD112,10,FALSE),4),0) + IF(ISNUMBER(VLOOKUP("5.1.1.2",A2:AD112,10,FALSE)),ROUND(VLOOKUP("5.1.1.2",A2:AD112,10,FALSE),4),0) + IF(ISNUMBER(VLOOKUP("5.1.1.3",A2:AD112,10,FALSE)),ROUND(VLOOKUP("5.1.1.3",A2:AD112,10,FALSE),4),0)</f>
        <v>1282767.28</v>
      </c>
      <c r="K38" s="9">
        <f>IF(ISNUMBER(VLOOKUP("5.1.1.1",A2:AD112,11,FALSE)),ROUND(VLOOKUP("5.1.1.1",A2:AD112,11,FALSE),4),0) + IF(ISNUMBER(VLOOKUP("5.1.1.2",A2:AD112,11,FALSE)),ROUND(VLOOKUP("5.1.1.2",A2:AD112,11,FALSE),4),0) + IF(ISNUMBER(VLOOKUP("5.1.1.3",A2:AD112,11,FALSE)),ROUND(VLOOKUP("5.1.1.3",A2:AD112,11,FALSE),4),0)</f>
        <v>450000</v>
      </c>
      <c r="L38" s="9">
        <f>IF(ISNUMBER(VLOOKUP("5.1.1.1",A2:AD112,12,FALSE)),ROUND(VLOOKUP("5.1.1.1",A2:AD112,12,FALSE),4),0) + IF(ISNUMBER(VLOOKUP("5.1.1.2",A2:AD112,12,FALSE)),ROUND(VLOOKUP("5.1.1.2",A2:AD112,12,FALSE),4),0) + IF(ISNUMBER(VLOOKUP("5.1.1.3",A2:AD112,12,FALSE)),ROUND(VLOOKUP("5.1.1.3",A2:AD112,12,FALSE),4),0)</f>
        <v>200000</v>
      </c>
      <c r="M38" s="9">
        <f>IF(ISNUMBER(VLOOKUP("5.1.1.1",A2:AD112,13,FALSE)),ROUND(VLOOKUP("5.1.1.1",A2:AD112,13,FALSE),4),0) + IF(ISNUMBER(VLOOKUP("5.1.1.2",A2:AD112,13,FALSE)),ROUND(VLOOKUP("5.1.1.2",A2:AD112,13,FALSE),4),0) + IF(ISNUMBER(VLOOKUP("5.1.1.3",A2:AD112,13,FALSE)),ROUND(VLOOKUP("5.1.1.3",A2:AD112,13,FALSE),4),0)</f>
        <v>300000</v>
      </c>
      <c r="N38" s="9">
        <f>IF(ISNUMBER(VLOOKUP("5.1.1.1",A2:AD112,14,FALSE)),ROUND(VLOOKUP("5.1.1.1",A2:AD112,14,FALSE),4),0) + IF(ISNUMBER(VLOOKUP("5.1.1.2",A2:AD112,14,FALSE)),ROUND(VLOOKUP("5.1.1.2",A2:AD112,14,FALSE),4),0) + IF(ISNUMBER(VLOOKUP("5.1.1.3",A2:AD112,14,FALSE)),ROUND(VLOOKUP("5.1.1.3",A2:AD112,14,FALSE),4),0)</f>
        <v>300000</v>
      </c>
      <c r="O38" s="9">
        <f>IF(ISNUMBER(VLOOKUP("5.1.1.1",A2:AD112,15,FALSE)),ROUND(VLOOKUP("5.1.1.1",A2:AD112,15,FALSE),4),0) + IF(ISNUMBER(VLOOKUP("5.1.1.2",A2:AD112,15,FALSE)),ROUND(VLOOKUP("5.1.1.2",A2:AD112,15,FALSE),4),0) + IF(ISNUMBER(VLOOKUP("5.1.1.3",A2:AD112,15,FALSE)),ROUND(VLOOKUP("5.1.1.3",A2:AD112,15,FALSE),4),0)</f>
        <v>300000</v>
      </c>
      <c r="P38" s="9">
        <f>IF(ISNUMBER(VLOOKUP("5.1.1.1",A2:AD112,16,FALSE)),ROUND(VLOOKUP("5.1.1.1",A2:AD112,16,FALSE),4),0) + IF(ISNUMBER(VLOOKUP("5.1.1.2",A2:AD112,16,FALSE)),ROUND(VLOOKUP("5.1.1.2",A2:AD112,16,FALSE),4),0) + IF(ISNUMBER(VLOOKUP("5.1.1.3",A2:AD112,16,FALSE)),ROUND(VLOOKUP("5.1.1.3",A2:AD112,16,FALSE),4),0)</f>
        <v>300000</v>
      </c>
      <c r="Q38" s="9">
        <f>IF(ISNUMBER(VLOOKUP("5.1.1.1",A2:AD112,17,FALSE)),ROUND(VLOOKUP("5.1.1.1",A2:AD112,17,FALSE),4),0) + IF(ISNUMBER(VLOOKUP("5.1.1.2",A2:AD112,17,FALSE)),ROUND(VLOOKUP("5.1.1.2",A2:AD112,17,FALSE),4),0) + IF(ISNUMBER(VLOOKUP("5.1.1.3",A2:AD112,17,FALSE)),ROUND(VLOOKUP("5.1.1.3",A2:AD112,17,FALSE),4),0)</f>
        <v>650000</v>
      </c>
      <c r="R38" s="9">
        <f>IF(ISNUMBER(VLOOKUP("5.1.1.1",A2:AD112,18,FALSE)),ROUND(VLOOKUP("5.1.1.1",A2:AD112,18,FALSE),4),0) + IF(ISNUMBER(VLOOKUP("5.1.1.2",A2:AD112,18,FALSE)),ROUND(VLOOKUP("5.1.1.2",A2:AD112,18,FALSE),4),0) + IF(ISNUMBER(VLOOKUP("5.1.1.3",A2:AD112,18,FALSE)),ROUND(VLOOKUP("5.1.1.3",A2:AD112,18,FALSE),4),0)</f>
        <v>300799.37</v>
      </c>
      <c r="S38" s="9">
        <f>IF(ISNUMBER(VLOOKUP("5.1.1.1",A2:AD112,19,FALSE)),ROUND(VLOOKUP("5.1.1.1",A2:AD112,19,FALSE),4),0) + IF(ISNUMBER(VLOOKUP("5.1.1.2",A2:AD112,19,FALSE)),ROUND(VLOOKUP("5.1.1.2",A2:AD112,19,FALSE),4),0) + IF(ISNUMBER(VLOOKUP("5.1.1.3",A2:AD112,19,FALSE)),ROUND(VLOOKUP("5.1.1.3",A2:AD112,19,FALSE),4),0)</f>
        <v>0</v>
      </c>
      <c r="T38" s="9">
        <f>IF(ISNUMBER(VLOOKUP("5.1.1.1",A2:AD112,20,FALSE)),ROUND(VLOOKUP("5.1.1.1",A2:AD112,20,FALSE),4),0) + IF(ISNUMBER(VLOOKUP("5.1.1.2",A2:AD112,20,FALSE)),ROUND(VLOOKUP("5.1.1.2",A2:AD112,20,FALSE),4),0) + IF(ISNUMBER(VLOOKUP("5.1.1.3",A2:AD112,20,FALSE)),ROUND(VLOOKUP("5.1.1.3",A2:AD112,20,FALSE),4),0)</f>
        <v>0</v>
      </c>
      <c r="U38" s="9">
        <f>IF(ISNUMBER(VLOOKUP("5.1.1.1",A2:AD112,21,FALSE)),ROUND(VLOOKUP("5.1.1.1",A2:AD112,21,FALSE),4),0) + IF(ISNUMBER(VLOOKUP("5.1.1.2",A2:AD112,21,FALSE)),ROUND(VLOOKUP("5.1.1.2",A2:AD112,21,FALSE),4),0) + IF(ISNUMBER(VLOOKUP("5.1.1.3",A2:AD112,21,FALSE)),ROUND(VLOOKUP("5.1.1.3",A2:AD112,21,FALSE),4),0)</f>
        <v>0</v>
      </c>
      <c r="V38" s="9">
        <f>IF(ISNUMBER(VLOOKUP("5.1.1.1",A2:AD112,22,FALSE)),ROUND(VLOOKUP("5.1.1.1",A2:AD112,22,FALSE),4),0) + IF(ISNUMBER(VLOOKUP("5.1.1.2",A2:AD112,22,FALSE)),ROUND(VLOOKUP("5.1.1.2",A2:AD112,22,FALSE),4),0) + IF(ISNUMBER(VLOOKUP("5.1.1.3",A2:AD112,22,FALSE)),ROUND(VLOOKUP("5.1.1.3",A2:AD112,22,FALSE),4),0)</f>
        <v>0</v>
      </c>
      <c r="W38" s="9">
        <f>IF(ISNUMBER(VLOOKUP("5.1.1.1",A2:AD112,23,FALSE)),ROUND(VLOOKUP("5.1.1.1",A2:AD112,23,FALSE),4),0) + IF(ISNUMBER(VLOOKUP("5.1.1.2",A2:AD112,23,FALSE)),ROUND(VLOOKUP("5.1.1.2",A2:AD112,23,FALSE),4),0) + IF(ISNUMBER(VLOOKUP("5.1.1.3",A2:AD112,23,FALSE)),ROUND(VLOOKUP("5.1.1.3",A2:AD112,23,FALSE),4),0)</f>
        <v>0</v>
      </c>
      <c r="X38" s="9">
        <f>IF(ISNUMBER(VLOOKUP("5.1.1.1",A2:AD112,24,FALSE)),ROUND(VLOOKUP("5.1.1.1",A2:AD112,24,FALSE),4),0) + IF(ISNUMBER(VLOOKUP("5.1.1.2",A2:AD112,24,FALSE)),ROUND(VLOOKUP("5.1.1.2",A2:AD112,24,FALSE),4),0) + IF(ISNUMBER(VLOOKUP("5.1.1.3",A2:AD112,24,FALSE)),ROUND(VLOOKUP("5.1.1.3",A2:AD112,24,FALSE),4),0)</f>
        <v>0</v>
      </c>
      <c r="Y38" s="9">
        <f>IF(ISNUMBER(VLOOKUP("5.1.1.1",A2:AD112,25,FALSE)),ROUND(VLOOKUP("5.1.1.1",A2:AD112,25,FALSE),4),0) + IF(ISNUMBER(VLOOKUP("5.1.1.2",A2:AD112,25,FALSE)),ROUND(VLOOKUP("5.1.1.2",A2:AD112,25,FALSE),4),0) + IF(ISNUMBER(VLOOKUP("5.1.1.3",A2:AD112,25,FALSE)),ROUND(VLOOKUP("5.1.1.3",A2:AD112,25,FALSE),4),0)</f>
        <v>0</v>
      </c>
      <c r="Z38" s="9">
        <f>IF(ISNUMBER(VLOOKUP("5.1.1.1",A2:AD112,26,FALSE)),ROUND(VLOOKUP("5.1.1.1",A2:AD112,26,FALSE),4),0) + IF(ISNUMBER(VLOOKUP("5.1.1.2",A2:AD112,26,FALSE)),ROUND(VLOOKUP("5.1.1.2",A2:AD112,26,FALSE),4),0) + IF(ISNUMBER(VLOOKUP("5.1.1.3",A2:AD112,26,FALSE)),ROUND(VLOOKUP("5.1.1.3",A2:AD112,26,FALSE),4),0)</f>
        <v>0</v>
      </c>
      <c r="AA38" s="9">
        <f>IF(ISNUMBER(VLOOKUP("5.1.1.1",A2:AD112,27,FALSE)),ROUND(VLOOKUP("5.1.1.1",A2:AD112,27,FALSE),4),0) + IF(ISNUMBER(VLOOKUP("5.1.1.2",A2:AD112,27,FALSE)),ROUND(VLOOKUP("5.1.1.2",A2:AD112,27,FALSE),4),0) + IF(ISNUMBER(VLOOKUP("5.1.1.3",A2:AD112,27,FALSE)),ROUND(VLOOKUP("5.1.1.3",A2:AD112,27,FALSE),4),0)</f>
        <v>0</v>
      </c>
      <c r="AB38" s="9">
        <f>IF(ISNUMBER(VLOOKUP("5.1.1.1",A2:AD112,28,FALSE)),ROUND(VLOOKUP("5.1.1.1",A2:AD112,28,FALSE),4),0) + IF(ISNUMBER(VLOOKUP("5.1.1.2",A2:AD112,28,FALSE)),ROUND(VLOOKUP("5.1.1.2",A2:AD112,28,FALSE),4),0) + IF(ISNUMBER(VLOOKUP("5.1.1.3",A2:AD112,28,FALSE)),ROUND(VLOOKUP("5.1.1.3",A2:AD112,28,FALSE),4),0)</f>
        <v>0</v>
      </c>
      <c r="AC38" s="9">
        <f>IF(ISNUMBER(VLOOKUP("5.1.1.1",A2:AD112,29,FALSE)),ROUND(VLOOKUP("5.1.1.1",A2:AD112,29,FALSE),4),0) + IF(ISNUMBER(VLOOKUP("5.1.1.2",A2:AD112,29,FALSE)),ROUND(VLOOKUP("5.1.1.2",A2:AD112,29,FALSE),4),0) + IF(ISNUMBER(VLOOKUP("5.1.1.3",A2:AD112,29,FALSE)),ROUND(VLOOKUP("5.1.1.3",A2:AD112,29,FALSE),4),0)</f>
        <v>0</v>
      </c>
      <c r="AD38" s="9">
        <f>IF(ISNUMBER(VLOOKUP("5.1.1.1",A2:AD112,30,FALSE)),ROUND(VLOOKUP("5.1.1.1",A2:AD112,30,FALSE),4),0) + IF(ISNUMBER(VLOOKUP("5.1.1.2",A2:AD112,30,FALSE)),ROUND(VLOOKUP("5.1.1.2",A2:AD112,30,FALSE),4),0) + IF(ISNUMBER(VLOOKUP("5.1.1.3",A2:AD112,30,FALSE)),ROUND(VLOOKUP("5.1.1.3",A2:AD112,30,FALSE),4),0)</f>
        <v>0</v>
      </c>
    </row>
    <row r="39" spans="1:30" ht="27" customHeight="1" x14ac:dyDescent="0.25">
      <c r="A39" s="5" t="s">
        <v>100</v>
      </c>
      <c r="B39" s="6" t="s">
        <v>101</v>
      </c>
      <c r="C39" s="9">
        <v>0</v>
      </c>
      <c r="D39" s="9">
        <v>0</v>
      </c>
      <c r="E39" s="9">
        <v>204345.75</v>
      </c>
      <c r="F39" s="9">
        <v>204345.75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</row>
    <row r="40" spans="1:30" ht="27" customHeight="1" x14ac:dyDescent="0.25">
      <c r="A40" s="5" t="s">
        <v>102</v>
      </c>
      <c r="B40" s="6" t="s">
        <v>103</v>
      </c>
      <c r="C40" s="9">
        <v>0</v>
      </c>
      <c r="D40" s="9">
        <v>0</v>
      </c>
      <c r="E40" s="9">
        <v>0</v>
      </c>
      <c r="F40" s="9">
        <v>0</v>
      </c>
      <c r="G40" s="9">
        <v>821751.29</v>
      </c>
      <c r="H40" s="9">
        <v>800000</v>
      </c>
      <c r="I40" s="9">
        <v>1100000</v>
      </c>
      <c r="J40" s="9">
        <v>1282767.28</v>
      </c>
      <c r="K40" s="9">
        <v>450000</v>
      </c>
      <c r="L40" s="9">
        <v>200000</v>
      </c>
      <c r="M40" s="9">
        <v>300000</v>
      </c>
      <c r="N40" s="9">
        <v>300000</v>
      </c>
      <c r="O40" s="9">
        <v>300000</v>
      </c>
      <c r="P40" s="9">
        <v>300000</v>
      </c>
      <c r="Q40" s="9">
        <v>650000</v>
      </c>
      <c r="R40" s="9">
        <v>300799.37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</row>
    <row r="41" spans="1:30" ht="27" customHeight="1" x14ac:dyDescent="0.25">
      <c r="A41" s="5" t="s">
        <v>104</v>
      </c>
      <c r="B41" s="6" t="s">
        <v>105</v>
      </c>
      <c r="C41" s="7">
        <v>0</v>
      </c>
      <c r="D41" s="7">
        <v>0</v>
      </c>
      <c r="E41" s="7">
        <v>0</v>
      </c>
      <c r="F41" s="7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</row>
    <row r="42" spans="1:30" ht="14.25" customHeight="1" x14ac:dyDescent="0.25">
      <c r="A42" s="2" t="s">
        <v>106</v>
      </c>
      <c r="B42" s="3" t="s">
        <v>107</v>
      </c>
      <c r="C42" s="10">
        <v>0</v>
      </c>
      <c r="D42" s="10">
        <v>0</v>
      </c>
      <c r="E42" s="10">
        <v>0</v>
      </c>
      <c r="F42" s="10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</row>
    <row r="43" spans="1:30" ht="14.25" customHeight="1" x14ac:dyDescent="0.25">
      <c r="A43" s="2" t="s">
        <v>108</v>
      </c>
      <c r="B43" s="3" t="s">
        <v>109</v>
      </c>
      <c r="C43" s="4">
        <v>19121185.68</v>
      </c>
      <c r="D43" s="4">
        <v>22062793.390000001</v>
      </c>
      <c r="E43" s="4">
        <v>31698438.52</v>
      </c>
      <c r="F43" s="4">
        <v>31698438.52</v>
      </c>
      <c r="G43" s="4">
        <v>38879228.509999998</v>
      </c>
      <c r="H43" s="4">
        <v>50547476.68</v>
      </c>
      <c r="I43" s="4">
        <v>59464296.390000001</v>
      </c>
      <c r="J43" s="4">
        <v>67011967.350000001</v>
      </c>
      <c r="K43" s="4">
        <v>64875981.890000001</v>
      </c>
      <c r="L43" s="4">
        <v>62081121.890000001</v>
      </c>
      <c r="M43" s="4">
        <v>58211261.890000001</v>
      </c>
      <c r="N43" s="4">
        <v>54128491.890000001</v>
      </c>
      <c r="O43" s="4">
        <v>49945721.890000001</v>
      </c>
      <c r="P43" s="4">
        <v>45687529.390000001</v>
      </c>
      <c r="Q43" s="4">
        <v>39751678.520000003</v>
      </c>
      <c r="R43" s="4">
        <v>34871678.520000003</v>
      </c>
      <c r="S43" s="4">
        <v>30518553.489999998</v>
      </c>
      <c r="T43" s="4">
        <v>26568553.489999998</v>
      </c>
      <c r="U43" s="4">
        <v>22547553.489999998</v>
      </c>
      <c r="V43" s="4">
        <v>19097553.489999998</v>
      </c>
      <c r="W43" s="4">
        <v>16025000</v>
      </c>
      <c r="X43" s="4">
        <v>13825000</v>
      </c>
      <c r="Y43" s="4">
        <v>11625000</v>
      </c>
      <c r="Z43" s="4">
        <v>9425000</v>
      </c>
      <c r="AA43" s="4">
        <v>7025000</v>
      </c>
      <c r="AB43" s="4">
        <v>4575000</v>
      </c>
      <c r="AC43" s="4">
        <v>1975000</v>
      </c>
      <c r="AD43" s="4">
        <v>0</v>
      </c>
    </row>
    <row r="44" spans="1:30" ht="52.9" customHeight="1" x14ac:dyDescent="0.25">
      <c r="A44" s="2" t="s">
        <v>110</v>
      </c>
      <c r="B44" s="3" t="s">
        <v>111</v>
      </c>
      <c r="C44" s="10">
        <v>0</v>
      </c>
      <c r="D44" s="10">
        <v>0</v>
      </c>
      <c r="E44" s="10">
        <v>0</v>
      </c>
      <c r="F44" s="10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</row>
    <row r="45" spans="1:30" ht="27" customHeight="1" x14ac:dyDescent="0.25">
      <c r="A45" s="2" t="s">
        <v>112</v>
      </c>
      <c r="B45" s="3" t="s">
        <v>113</v>
      </c>
      <c r="C45" s="23" t="s">
        <v>65</v>
      </c>
      <c r="D45" s="23" t="s">
        <v>65</v>
      </c>
      <c r="E45" s="23" t="s">
        <v>65</v>
      </c>
      <c r="F45" s="23" t="s">
        <v>65</v>
      </c>
      <c r="G45" s="23" t="s">
        <v>65</v>
      </c>
      <c r="H45" s="23" t="s">
        <v>65</v>
      </c>
      <c r="I45" s="23" t="s">
        <v>65</v>
      </c>
      <c r="J45" s="23" t="s">
        <v>65</v>
      </c>
      <c r="K45" s="23" t="s">
        <v>65</v>
      </c>
      <c r="L45" s="23" t="s">
        <v>65</v>
      </c>
      <c r="M45" s="23" t="s">
        <v>65</v>
      </c>
      <c r="N45" s="23" t="s">
        <v>65</v>
      </c>
      <c r="O45" s="23" t="s">
        <v>65</v>
      </c>
      <c r="P45" s="23" t="s">
        <v>65</v>
      </c>
      <c r="Q45" s="23" t="s">
        <v>65</v>
      </c>
      <c r="R45" s="23" t="s">
        <v>65</v>
      </c>
      <c r="S45" s="23" t="s">
        <v>65</v>
      </c>
      <c r="T45" s="23" t="s">
        <v>65</v>
      </c>
      <c r="U45" s="23" t="s">
        <v>65</v>
      </c>
      <c r="V45" s="23" t="s">
        <v>65</v>
      </c>
      <c r="W45" s="23" t="s">
        <v>65</v>
      </c>
      <c r="X45" s="23" t="s">
        <v>65</v>
      </c>
      <c r="Y45" s="23" t="s">
        <v>65</v>
      </c>
      <c r="Z45" s="23" t="s">
        <v>65</v>
      </c>
      <c r="AA45" s="23" t="s">
        <v>65</v>
      </c>
      <c r="AB45" s="23" t="s">
        <v>65</v>
      </c>
      <c r="AC45" s="23" t="s">
        <v>65</v>
      </c>
      <c r="AD45" s="23" t="s">
        <v>65</v>
      </c>
    </row>
    <row r="46" spans="1:30" ht="27" customHeight="1" x14ac:dyDescent="0.25">
      <c r="A46" s="5" t="s">
        <v>114</v>
      </c>
      <c r="B46" s="6" t="s">
        <v>115</v>
      </c>
      <c r="C46" s="9">
        <f>IF(ISNUMBER(VLOOKUP("1.1",A2:AD112,3,FALSE)),ROUND(VLOOKUP("1.1",A2:AD112,3,FALSE),4),0) - IF(ISNUMBER(VLOOKUP("2.1",A2:AD112,3,FALSE)),ROUND(VLOOKUP("2.1",A2:AD112,3,FALSE),4),0)</f>
        <v>3684368.1899999976</v>
      </c>
      <c r="D46" s="9">
        <f>IF(ISNUMBER(VLOOKUP("1.1",A2:AD112,4,FALSE)),ROUND(VLOOKUP("1.1",A2:AD112,4,FALSE),4),0) - IF(ISNUMBER(VLOOKUP("2.1",A2:AD112,4,FALSE)),ROUND(VLOOKUP("2.1",A2:AD112,4,FALSE),4),0)</f>
        <v>3394771.0700000003</v>
      </c>
      <c r="E46" s="9">
        <f>IF(ISNUMBER(VLOOKUP("1.1",A2:AD112,5,FALSE)),ROUND(VLOOKUP("1.1",A2:AD112,5,FALSE),4),0) - IF(ISNUMBER(VLOOKUP("2.1",A2:AD112,5,FALSE)),ROUND(VLOOKUP("2.1",A2:AD112,5,FALSE),4),0)</f>
        <v>6099962.0800000057</v>
      </c>
      <c r="F46" s="9">
        <f>IF(ISNUMBER(VLOOKUP("1.1",A2:AD112,6,FALSE)),ROUND(VLOOKUP("1.1",A2:AD112,6,FALSE),4),0) - IF(ISNUMBER(VLOOKUP("2.1",A2:AD112,6,FALSE)),ROUND(VLOOKUP("2.1",A2:AD112,6,FALSE),4),0)</f>
        <v>5049287.82</v>
      </c>
      <c r="G46" s="9">
        <f>IF(ISNUMBER(VLOOKUP("1.1",A2:AD112,7,FALSE)),ROUND(VLOOKUP("1.1",A2:AD112,7,FALSE),4),0) - IF(ISNUMBER(VLOOKUP("2.1",A2:AD112,7,FALSE)),ROUND(VLOOKUP("2.1",A2:AD112,7,FALSE),4),0)</f>
        <v>5847099.3299999982</v>
      </c>
      <c r="H46" s="9">
        <f>IF(ISNUMBER(VLOOKUP("1.1",A2:AD112,8,FALSE)),ROUND(VLOOKUP("1.1",A2:AD112,8,FALSE),4),0) - IF(ISNUMBER(VLOOKUP("2.1",A2:AD112,8,FALSE)),ROUND(VLOOKUP("2.1",A2:AD112,8,FALSE),4),0)</f>
        <v>9219040.0300000012</v>
      </c>
      <c r="I46" s="9">
        <f>IF(ISNUMBER(VLOOKUP("1.1",A2:AD112,9,FALSE)),ROUND(VLOOKUP("1.1",A2:AD112,9,FALSE),4),0) - IF(ISNUMBER(VLOOKUP("2.1",A2:AD112,9,FALSE)),ROUND(VLOOKUP("2.1",A2:AD112,9,FALSE),4),0)</f>
        <v>9190094.0300000012</v>
      </c>
      <c r="J46" s="9">
        <f>IF(ISNUMBER(VLOOKUP("1.1",A2:AD112,10,FALSE)),ROUND(VLOOKUP("1.1",A2:AD112,10,FALSE),4),0) - IF(ISNUMBER(VLOOKUP("2.1",A2:AD112,10,FALSE)),ROUND(VLOOKUP("2.1",A2:AD112,10,FALSE),4),0)</f>
        <v>9291698.0300000012</v>
      </c>
      <c r="K46" s="9">
        <f>IF(ISNUMBER(VLOOKUP("1.1",A2:AD112,11,FALSE)),ROUND(VLOOKUP("1.1",A2:AD112,11,FALSE),4),0) - IF(ISNUMBER(VLOOKUP("2.1",A2:AD112,11,FALSE)),ROUND(VLOOKUP("2.1",A2:AD112,11,FALSE),4),0)</f>
        <v>5568762</v>
      </c>
      <c r="L46" s="9">
        <f>IF(ISNUMBER(VLOOKUP("1.1",A2:AD112,12,FALSE)),ROUND(VLOOKUP("1.1",A2:AD112,12,FALSE),4),0) - IF(ISNUMBER(VLOOKUP("2.1",A2:AD112,12,FALSE)),ROUND(VLOOKUP("2.1",A2:AD112,12,FALSE),4),0)</f>
        <v>4522149</v>
      </c>
      <c r="M46" s="9">
        <f>IF(ISNUMBER(VLOOKUP("1.1",A2:AD112,13,FALSE)),ROUND(VLOOKUP("1.1",A2:AD112,13,FALSE),4),0) - IF(ISNUMBER(VLOOKUP("2.1",A2:AD112,13,FALSE)),ROUND(VLOOKUP("2.1",A2:AD112,13,FALSE),4),0)</f>
        <v>5075464</v>
      </c>
      <c r="N46" s="9">
        <f>IF(ISNUMBER(VLOOKUP("1.1",A2:AD112,14,FALSE)),ROUND(VLOOKUP("1.1",A2:AD112,14,FALSE),4),0) - IF(ISNUMBER(VLOOKUP("2.1",A2:AD112,14,FALSE)),ROUND(VLOOKUP("2.1",A2:AD112,14,FALSE),4),0)</f>
        <v>5666116</v>
      </c>
      <c r="O46" s="9">
        <f>IF(ISNUMBER(VLOOKUP("1.1",A2:AD112,15,FALSE)),ROUND(VLOOKUP("1.1",A2:AD112,15,FALSE),4),0) - IF(ISNUMBER(VLOOKUP("2.1",A2:AD112,15,FALSE)),ROUND(VLOOKUP("2.1",A2:AD112,15,FALSE),4),0)</f>
        <v>6277043</v>
      </c>
      <c r="P46" s="9">
        <f>IF(ISNUMBER(VLOOKUP("1.1",A2:AD112,16,FALSE)),ROUND(VLOOKUP("1.1",A2:AD112,16,FALSE),4),0) - IF(ISNUMBER(VLOOKUP("2.1",A2:AD112,16,FALSE)),ROUND(VLOOKUP("2.1",A2:AD112,16,FALSE),4),0)</f>
        <v>6906990</v>
      </c>
      <c r="Q46" s="9">
        <f>IF(ISNUMBER(VLOOKUP("1.1",A2:AD112,17,FALSE)),ROUND(VLOOKUP("1.1",A2:AD112,17,FALSE),4),0) - IF(ISNUMBER(VLOOKUP("2.1",A2:AD112,17,FALSE)),ROUND(VLOOKUP("2.1",A2:AD112,17,FALSE),4),0)</f>
        <v>7575553</v>
      </c>
      <c r="R46" s="9">
        <f>IF(ISNUMBER(VLOOKUP("1.1",A2:AD112,18,FALSE)),ROUND(VLOOKUP("1.1",A2:AD112,18,FALSE),4),0) - IF(ISNUMBER(VLOOKUP("2.1",A2:AD112,18,FALSE)),ROUND(VLOOKUP("2.1",A2:AD112,18,FALSE),4),0)</f>
        <v>8258469</v>
      </c>
      <c r="S46" s="9">
        <f>IF(ISNUMBER(VLOOKUP("1.1",A2:AD112,19,FALSE)),ROUND(VLOOKUP("1.1",A2:AD112,19,FALSE),4),0) - IF(ISNUMBER(VLOOKUP("2.1",A2:AD112,19,FALSE)),ROUND(VLOOKUP("2.1",A2:AD112,19,FALSE),4),0)</f>
        <v>8927558</v>
      </c>
      <c r="T46" s="9">
        <f>IF(ISNUMBER(VLOOKUP("1.1",A2:AD112,20,FALSE)),ROUND(VLOOKUP("1.1",A2:AD112,20,FALSE),4),0) - IF(ISNUMBER(VLOOKUP("2.1",A2:AD112,20,FALSE)),ROUND(VLOOKUP("2.1",A2:AD112,20,FALSE),4),0)</f>
        <v>9591766</v>
      </c>
      <c r="U46" s="9">
        <f>IF(ISNUMBER(VLOOKUP("1.1",A2:AD112,21,FALSE)),ROUND(VLOOKUP("1.1",A2:AD112,21,FALSE),4),0) - IF(ISNUMBER(VLOOKUP("2.1",A2:AD112,21,FALSE)),ROUND(VLOOKUP("2.1",A2:AD112,21,FALSE),4),0)</f>
        <v>10260068</v>
      </c>
      <c r="V46" s="9">
        <f>IF(ISNUMBER(VLOOKUP("1.1",A2:AD112,22,FALSE)),ROUND(VLOOKUP("1.1",A2:AD112,22,FALSE),4),0) - IF(ISNUMBER(VLOOKUP("2.1",A2:AD112,22,FALSE)),ROUND(VLOOKUP("2.1",A2:AD112,22,FALSE),4),0)</f>
        <v>10938187</v>
      </c>
      <c r="W46" s="9">
        <f>IF(ISNUMBER(VLOOKUP("1.1",A2:AD112,23,FALSE)),ROUND(VLOOKUP("1.1",A2:AD112,23,FALSE),4),0) - IF(ISNUMBER(VLOOKUP("2.1",A2:AD112,23,FALSE)),ROUND(VLOOKUP("2.1",A2:AD112,23,FALSE),4),0)</f>
        <v>11616661</v>
      </c>
      <c r="X46" s="9">
        <f>IF(ISNUMBER(VLOOKUP("1.1",A2:AD112,24,FALSE)),ROUND(VLOOKUP("1.1",A2:AD112,24,FALSE),4),0) - IF(ISNUMBER(VLOOKUP("2.1",A2:AD112,24,FALSE)),ROUND(VLOOKUP("2.1",A2:AD112,24,FALSE),4),0)</f>
        <v>12290648</v>
      </c>
      <c r="Y46" s="9">
        <f>IF(ISNUMBER(VLOOKUP("1.1",A2:AD112,25,FALSE)),ROUND(VLOOKUP("1.1",A2:AD112,25,FALSE),4),0) - IF(ISNUMBER(VLOOKUP("2.1",A2:AD112,25,FALSE)),ROUND(VLOOKUP("2.1",A2:AD112,25,FALSE),4),0)</f>
        <v>12969461</v>
      </c>
      <c r="Z46" s="9">
        <f>IF(ISNUMBER(VLOOKUP("1.1",A2:AD112,26,FALSE)),ROUND(VLOOKUP("1.1",A2:AD112,26,FALSE),4),0) - IF(ISNUMBER(VLOOKUP("2.1",A2:AD112,26,FALSE)),ROUND(VLOOKUP("2.1",A2:AD112,26,FALSE),4),0)</f>
        <v>13668602</v>
      </c>
      <c r="AA46" s="9">
        <f>IF(ISNUMBER(VLOOKUP("1.1",A2:AD112,27,FALSE)),ROUND(VLOOKUP("1.1",A2:AD112,27,FALSE),4),0) - IF(ISNUMBER(VLOOKUP("2.1",A2:AD112,27,FALSE)),ROUND(VLOOKUP("2.1",A2:AD112,27,FALSE),4),0)</f>
        <v>14388633</v>
      </c>
      <c r="AB46" s="9">
        <f>IF(ISNUMBER(VLOOKUP("1.1",A2:AD112,28,FALSE)),ROUND(VLOOKUP("1.1",A2:AD112,28,FALSE),4),0) - IF(ISNUMBER(VLOOKUP("2.1",A2:AD112,28,FALSE)),ROUND(VLOOKUP("2.1",A2:AD112,28,FALSE),4),0)</f>
        <v>15132133</v>
      </c>
      <c r="AC46" s="9">
        <f>IF(ISNUMBER(VLOOKUP("1.1",A2:AD112,29,FALSE)),ROUND(VLOOKUP("1.1",A2:AD112,29,FALSE),4),0) - IF(ISNUMBER(VLOOKUP("2.1",A2:AD112,29,FALSE)),ROUND(VLOOKUP("2.1",A2:AD112,29,FALSE),4),0)</f>
        <v>15899693</v>
      </c>
      <c r="AD46" s="9">
        <f>IF(ISNUMBER(VLOOKUP("1.1",A2:AD112,30,FALSE)),ROUND(VLOOKUP("1.1",A2:AD112,30,FALSE),4),0) - IF(ISNUMBER(VLOOKUP("2.1",A2:AD112,30,FALSE)),ROUND(VLOOKUP("2.1",A2:AD112,30,FALSE),4),0)</f>
        <v>15956193</v>
      </c>
    </row>
    <row r="47" spans="1:30" ht="27" customHeight="1" x14ac:dyDescent="0.25">
      <c r="A47" s="5" t="s">
        <v>116</v>
      </c>
      <c r="B47" s="6" t="s">
        <v>117</v>
      </c>
      <c r="C47" s="9">
        <f>IF(ISNUMBER(VLOOKUP("1.1",A2:AD112,3,FALSE)),ROUND(VLOOKUP("1.1",A2:AD112,3,FALSE),4),0) + IF(ISNUMBER(VLOOKUP("4.1",A2:AD112,3,FALSE)),ROUND(VLOOKUP("4.1",A2:AD112,3,FALSE),4),0) + IF(ISNUMBER(VLOOKUP("4.2",A2:AD112,3,FALSE)),ROUND(VLOOKUP("4.2",A2:AD112,3,FALSE),4),0) - IF(ISNUMBER(VLOOKUP("2.1",A2:AD112,3,FALSE)),ROUND(VLOOKUP("2.1",A2:AD112,3,FALSE),4),0) + IF(ISNUMBER(VLOOKUP("2.1.2",A2:AD112,3,FALSE)),ROUND(VLOOKUP("2.1.2",A2:AD112,3,FALSE),4),0)</f>
        <v>5718835.049999997</v>
      </c>
      <c r="D47" s="9">
        <f>IF(ISNUMBER(VLOOKUP("1.1",A2:AD112,4,FALSE)),ROUND(VLOOKUP("1.1",A2:AD112,4,FALSE),4),0) + IF(ISNUMBER(VLOOKUP("4.1",A2:AD112,4,FALSE)),ROUND(VLOOKUP("4.1",A2:AD112,4,FALSE),4),0) + IF(ISNUMBER(VLOOKUP("4.2",A2:AD112,4,FALSE)),ROUND(VLOOKUP("4.2",A2:AD112,4,FALSE),4),0) - IF(ISNUMBER(VLOOKUP("2.1",A2:AD112,4,FALSE)),ROUND(VLOOKUP("2.1",A2:AD112,4,FALSE),4),0) + IF(ISNUMBER(VLOOKUP("2.1.2",A2:AD112,4,FALSE)),ROUND(VLOOKUP("2.1.2",A2:AD112,4,FALSE),4),0)</f>
        <v>6056204.049999997</v>
      </c>
      <c r="E47" s="9">
        <f>IF(ISNUMBER(VLOOKUP("1.1",A2:AD112,5,FALSE)),ROUND(VLOOKUP("1.1",A2:AD112,5,FALSE),4),0) + IF(ISNUMBER(VLOOKUP("4.1",A2:AD112,5,FALSE)),ROUND(VLOOKUP("4.1",A2:AD112,5,FALSE),4),0) + IF(ISNUMBER(VLOOKUP("4.2",A2:AD112,5,FALSE)),ROUND(VLOOKUP("4.2",A2:AD112,5,FALSE),4),0) - IF(ISNUMBER(VLOOKUP("2.1",A2:AD112,5,FALSE)),ROUND(VLOOKUP("2.1",A2:AD112,5,FALSE),4),0) + IF(ISNUMBER(VLOOKUP("2.1.2",A2:AD112,5,FALSE)),ROUND(VLOOKUP("2.1.2",A2:AD112,5,FALSE),4),0)</f>
        <v>9371588.0800000057</v>
      </c>
      <c r="F47" s="9">
        <f>IF(ISNUMBER(VLOOKUP("1.1",A2:AD112,6,FALSE)),ROUND(VLOOKUP("1.1",A2:AD112,6,FALSE),4),0) + IF(ISNUMBER(VLOOKUP("4.1",A2:AD112,6,FALSE)),ROUND(VLOOKUP("4.1",A2:AD112,6,FALSE),4),0) + IF(ISNUMBER(VLOOKUP("4.2",A2:AD112,6,FALSE)),ROUND(VLOOKUP("4.2",A2:AD112,6,FALSE),4),0) - IF(ISNUMBER(VLOOKUP("2.1",A2:AD112,6,FALSE)),ROUND(VLOOKUP("2.1",A2:AD112,6,FALSE),4),0) + IF(ISNUMBER(VLOOKUP("2.1.2",A2:AD112,6,FALSE)),ROUND(VLOOKUP("2.1.2",A2:AD112,6,FALSE),4),0)</f>
        <v>8320913.8200000003</v>
      </c>
      <c r="G47" s="9">
        <f>IF(ISNUMBER(VLOOKUP("1.1",A2:AD112,7,FALSE)),ROUND(VLOOKUP("1.1",A2:AD112,7,FALSE),4),0) + IF(ISNUMBER(VLOOKUP("4.1",A2:AD112,7,FALSE)),ROUND(VLOOKUP("4.1",A2:AD112,7,FALSE),4),0) + IF(ISNUMBER(VLOOKUP("4.2",A2:AD112,7,FALSE)),ROUND(VLOOKUP("4.2",A2:AD112,7,FALSE),4),0) - IF(ISNUMBER(VLOOKUP("2.1",A2:AD112,7,FALSE)),ROUND(VLOOKUP("2.1",A2:AD112,7,FALSE),4),0) + IF(ISNUMBER(VLOOKUP("2.1.2",A2:AD112,7,FALSE)),ROUND(VLOOKUP("2.1.2",A2:AD112,7,FALSE),4),0)</f>
        <v>6220768.1499999985</v>
      </c>
      <c r="H47" s="9">
        <f>IF(ISNUMBER(VLOOKUP("1.1",A2:AD112,8,FALSE)),ROUND(VLOOKUP("1.1",A2:AD112,8,FALSE),4),0) + IF(ISNUMBER(VLOOKUP("4.1",A2:AD112,8,FALSE)),ROUND(VLOOKUP("4.1",A2:AD112,8,FALSE),4),0) + IF(ISNUMBER(VLOOKUP("4.2",A2:AD112,8,FALSE)),ROUND(VLOOKUP("4.2",A2:AD112,8,FALSE),4),0) - IF(ISNUMBER(VLOOKUP("2.1",A2:AD112,8,FALSE)),ROUND(VLOOKUP("2.1",A2:AD112,8,FALSE),4),0) + IF(ISNUMBER(VLOOKUP("2.1.2",A2:AD112,8,FALSE)),ROUND(VLOOKUP("2.1.2",A2:AD112,8,FALSE),4),0)</f>
        <v>9219040.0300000012</v>
      </c>
      <c r="I47" s="9">
        <f>IF(ISNUMBER(VLOOKUP("1.1",A2:AD112,9,FALSE)),ROUND(VLOOKUP("1.1",A2:AD112,9,FALSE),4),0) + IF(ISNUMBER(VLOOKUP("4.1",A2:AD112,9,FALSE)),ROUND(VLOOKUP("4.1",A2:AD112,9,FALSE),4),0) + IF(ISNUMBER(VLOOKUP("4.2",A2:AD112,9,FALSE)),ROUND(VLOOKUP("4.2",A2:AD112,9,FALSE),4),0) - IF(ISNUMBER(VLOOKUP("2.1",A2:AD112,9,FALSE)),ROUND(VLOOKUP("2.1",A2:AD112,9,FALSE),4),0) + IF(ISNUMBER(VLOOKUP("2.1.2",A2:AD112,9,FALSE)),ROUND(VLOOKUP("2.1.2",A2:AD112,9,FALSE),4),0)</f>
        <v>9190094.0300000012</v>
      </c>
      <c r="J47" s="9">
        <f>IF(ISNUMBER(VLOOKUP("1.1",A2:AD112,10,FALSE)),ROUND(VLOOKUP("1.1",A2:AD112,10,FALSE),4),0) + IF(ISNUMBER(VLOOKUP("4.1",A2:AD112,10,FALSE)),ROUND(VLOOKUP("4.1",A2:AD112,10,FALSE),4),0) + IF(ISNUMBER(VLOOKUP("4.2",A2:AD112,10,FALSE)),ROUND(VLOOKUP("4.2",A2:AD112,10,FALSE),4),0) - IF(ISNUMBER(VLOOKUP("2.1",A2:AD112,10,FALSE)),ROUND(VLOOKUP("2.1",A2:AD112,10,FALSE),4),0) + IF(ISNUMBER(VLOOKUP("2.1.2",A2:AD112,10,FALSE)),ROUND(VLOOKUP("2.1.2",A2:AD112,10,FALSE),4),0)</f>
        <v>9291698.0300000012</v>
      </c>
      <c r="K47" s="9">
        <f>IF(ISNUMBER(VLOOKUP("1.1",A2:AD112,11,FALSE)),ROUND(VLOOKUP("1.1",A2:AD112,11,FALSE),4),0) + IF(ISNUMBER(VLOOKUP("4.1",A2:AD112,11,FALSE)),ROUND(VLOOKUP("4.1",A2:AD112,11,FALSE),4),0) + IF(ISNUMBER(VLOOKUP("4.2",A2:AD112,11,FALSE)),ROUND(VLOOKUP("4.2",A2:AD112,11,FALSE),4),0) - IF(ISNUMBER(VLOOKUP("2.1",A2:AD112,11,FALSE)),ROUND(VLOOKUP("2.1",A2:AD112,11,FALSE),4),0) + IF(ISNUMBER(VLOOKUP("2.1.2",A2:AD112,11,FALSE)),ROUND(VLOOKUP("2.1.2",A2:AD112,11,FALSE),4),0)</f>
        <v>5568762</v>
      </c>
      <c r="L47" s="9">
        <f>IF(ISNUMBER(VLOOKUP("1.1",A2:AD112,12,FALSE)),ROUND(VLOOKUP("1.1",A2:AD112,12,FALSE),4),0) + IF(ISNUMBER(VLOOKUP("4.1",A2:AD112,12,FALSE)),ROUND(VLOOKUP("4.1",A2:AD112,12,FALSE),4),0) + IF(ISNUMBER(VLOOKUP("4.2",A2:AD112,12,FALSE)),ROUND(VLOOKUP("4.2",A2:AD112,12,FALSE),4),0) - IF(ISNUMBER(VLOOKUP("2.1",A2:AD112,12,FALSE)),ROUND(VLOOKUP("2.1",A2:AD112,12,FALSE),4),0) + IF(ISNUMBER(VLOOKUP("2.1.2",A2:AD112,12,FALSE)),ROUND(VLOOKUP("2.1.2",A2:AD112,12,FALSE),4),0)</f>
        <v>4522149</v>
      </c>
      <c r="M47" s="9">
        <f>IF(ISNUMBER(VLOOKUP("1.1",A2:AD112,13,FALSE)),ROUND(VLOOKUP("1.1",A2:AD112,13,FALSE),4),0) + IF(ISNUMBER(VLOOKUP("4.1",A2:AD112,13,FALSE)),ROUND(VLOOKUP("4.1",A2:AD112,13,FALSE),4),0) + IF(ISNUMBER(VLOOKUP("4.2",A2:AD112,13,FALSE)),ROUND(VLOOKUP("4.2",A2:AD112,13,FALSE),4),0) - IF(ISNUMBER(VLOOKUP("2.1",A2:AD112,13,FALSE)),ROUND(VLOOKUP("2.1",A2:AD112,13,FALSE),4),0) + IF(ISNUMBER(VLOOKUP("2.1.2",A2:AD112,13,FALSE)),ROUND(VLOOKUP("2.1.2",A2:AD112,13,FALSE),4),0)</f>
        <v>5075464</v>
      </c>
      <c r="N47" s="9">
        <f>IF(ISNUMBER(VLOOKUP("1.1",A2:AD112,14,FALSE)),ROUND(VLOOKUP("1.1",A2:AD112,14,FALSE),4),0) + IF(ISNUMBER(VLOOKUP("4.1",A2:AD112,14,FALSE)),ROUND(VLOOKUP("4.1",A2:AD112,14,FALSE),4),0) + IF(ISNUMBER(VLOOKUP("4.2",A2:AD112,14,FALSE)),ROUND(VLOOKUP("4.2",A2:AD112,14,FALSE),4),0) - IF(ISNUMBER(VLOOKUP("2.1",A2:AD112,14,FALSE)),ROUND(VLOOKUP("2.1",A2:AD112,14,FALSE),4),0) + IF(ISNUMBER(VLOOKUP("2.1.2",A2:AD112,14,FALSE)),ROUND(VLOOKUP("2.1.2",A2:AD112,14,FALSE),4),0)</f>
        <v>5666116</v>
      </c>
      <c r="O47" s="9">
        <f>IF(ISNUMBER(VLOOKUP("1.1",A2:AD112,15,FALSE)),ROUND(VLOOKUP("1.1",A2:AD112,15,FALSE),4),0) + IF(ISNUMBER(VLOOKUP("4.1",A2:AD112,15,FALSE)),ROUND(VLOOKUP("4.1",A2:AD112,15,FALSE),4),0) + IF(ISNUMBER(VLOOKUP("4.2",A2:AD112,15,FALSE)),ROUND(VLOOKUP("4.2",A2:AD112,15,FALSE),4),0) - IF(ISNUMBER(VLOOKUP("2.1",A2:AD112,15,FALSE)),ROUND(VLOOKUP("2.1",A2:AD112,15,FALSE),4),0) + IF(ISNUMBER(VLOOKUP("2.1.2",A2:AD112,15,FALSE)),ROUND(VLOOKUP("2.1.2",A2:AD112,15,FALSE),4),0)</f>
        <v>6277043</v>
      </c>
      <c r="P47" s="9">
        <f>IF(ISNUMBER(VLOOKUP("1.1",A2:AD112,16,FALSE)),ROUND(VLOOKUP("1.1",A2:AD112,16,FALSE),4),0) + IF(ISNUMBER(VLOOKUP("4.1",A2:AD112,16,FALSE)),ROUND(VLOOKUP("4.1",A2:AD112,16,FALSE),4),0) + IF(ISNUMBER(VLOOKUP("4.2",A2:AD112,16,FALSE)),ROUND(VLOOKUP("4.2",A2:AD112,16,FALSE),4),0) - IF(ISNUMBER(VLOOKUP("2.1",A2:AD112,16,FALSE)),ROUND(VLOOKUP("2.1",A2:AD112,16,FALSE),4),0) + IF(ISNUMBER(VLOOKUP("2.1.2",A2:AD112,16,FALSE)),ROUND(VLOOKUP("2.1.2",A2:AD112,16,FALSE),4),0)</f>
        <v>6906990</v>
      </c>
      <c r="Q47" s="9">
        <f>IF(ISNUMBER(VLOOKUP("1.1",A2:AD112,17,FALSE)),ROUND(VLOOKUP("1.1",A2:AD112,17,FALSE),4),0) + IF(ISNUMBER(VLOOKUP("4.1",A2:AD112,17,FALSE)),ROUND(VLOOKUP("4.1",A2:AD112,17,FALSE),4),0) + IF(ISNUMBER(VLOOKUP("4.2",A2:AD112,17,FALSE)),ROUND(VLOOKUP("4.2",A2:AD112,17,FALSE),4),0) - IF(ISNUMBER(VLOOKUP("2.1",A2:AD112,17,FALSE)),ROUND(VLOOKUP("2.1",A2:AD112,17,FALSE),4),0) + IF(ISNUMBER(VLOOKUP("2.1.2",A2:AD112,17,FALSE)),ROUND(VLOOKUP("2.1.2",A2:AD112,17,FALSE),4),0)</f>
        <v>7575553</v>
      </c>
      <c r="R47" s="9">
        <f>IF(ISNUMBER(VLOOKUP("1.1",A2:AD112,18,FALSE)),ROUND(VLOOKUP("1.1",A2:AD112,18,FALSE),4),0) + IF(ISNUMBER(VLOOKUP("4.1",A2:AD112,18,FALSE)),ROUND(VLOOKUP("4.1",A2:AD112,18,FALSE),4),0) + IF(ISNUMBER(VLOOKUP("4.2",A2:AD112,18,FALSE)),ROUND(VLOOKUP("4.2",A2:AD112,18,FALSE),4),0) - IF(ISNUMBER(VLOOKUP("2.1",A2:AD112,18,FALSE)),ROUND(VLOOKUP("2.1",A2:AD112,18,FALSE),4),0) + IF(ISNUMBER(VLOOKUP("2.1.2",A2:AD112,18,FALSE)),ROUND(VLOOKUP("2.1.2",A2:AD112,18,FALSE),4),0)</f>
        <v>8258469</v>
      </c>
      <c r="S47" s="9">
        <f>IF(ISNUMBER(VLOOKUP("1.1",A2:AD112,19,FALSE)),ROUND(VLOOKUP("1.1",A2:AD112,19,FALSE),4),0) + IF(ISNUMBER(VLOOKUP("4.1",A2:AD112,19,FALSE)),ROUND(VLOOKUP("4.1",A2:AD112,19,FALSE),4),0) + IF(ISNUMBER(VLOOKUP("4.2",A2:AD112,19,FALSE)),ROUND(VLOOKUP("4.2",A2:AD112,19,FALSE),4),0) - IF(ISNUMBER(VLOOKUP("2.1",A2:AD112,19,FALSE)),ROUND(VLOOKUP("2.1",A2:AD112,19,FALSE),4),0) + IF(ISNUMBER(VLOOKUP("2.1.2",A2:AD112,19,FALSE)),ROUND(VLOOKUP("2.1.2",A2:AD112,19,FALSE),4),0)</f>
        <v>8927558</v>
      </c>
      <c r="T47" s="9">
        <f>IF(ISNUMBER(VLOOKUP("1.1",A2:AD112,20,FALSE)),ROUND(VLOOKUP("1.1",A2:AD112,20,FALSE),4),0) + IF(ISNUMBER(VLOOKUP("4.1",A2:AD112,20,FALSE)),ROUND(VLOOKUP("4.1",A2:AD112,20,FALSE),4),0) + IF(ISNUMBER(VLOOKUP("4.2",A2:AD112,20,FALSE)),ROUND(VLOOKUP("4.2",A2:AD112,20,FALSE),4),0) - IF(ISNUMBER(VLOOKUP("2.1",A2:AD112,20,FALSE)),ROUND(VLOOKUP("2.1",A2:AD112,20,FALSE),4),0) + IF(ISNUMBER(VLOOKUP("2.1.2",A2:AD112,20,FALSE)),ROUND(VLOOKUP("2.1.2",A2:AD112,20,FALSE),4),0)</f>
        <v>9591766</v>
      </c>
      <c r="U47" s="9">
        <f>IF(ISNUMBER(VLOOKUP("1.1",A2:AD112,21,FALSE)),ROUND(VLOOKUP("1.1",A2:AD112,21,FALSE),4),0) + IF(ISNUMBER(VLOOKUP("4.1",A2:AD112,21,FALSE)),ROUND(VLOOKUP("4.1",A2:AD112,21,FALSE),4),0) + IF(ISNUMBER(VLOOKUP("4.2",A2:AD112,21,FALSE)),ROUND(VLOOKUP("4.2",A2:AD112,21,FALSE),4),0) - IF(ISNUMBER(VLOOKUP("2.1",A2:AD112,21,FALSE)),ROUND(VLOOKUP("2.1",A2:AD112,21,FALSE),4),0) + IF(ISNUMBER(VLOOKUP("2.1.2",A2:AD112,21,FALSE)),ROUND(VLOOKUP("2.1.2",A2:AD112,21,FALSE),4),0)</f>
        <v>10260068</v>
      </c>
      <c r="V47" s="9">
        <f>IF(ISNUMBER(VLOOKUP("1.1",A2:AD112,22,FALSE)),ROUND(VLOOKUP("1.1",A2:AD112,22,FALSE),4),0) + IF(ISNUMBER(VLOOKUP("4.1",A2:AD112,22,FALSE)),ROUND(VLOOKUP("4.1",A2:AD112,22,FALSE),4),0) + IF(ISNUMBER(VLOOKUP("4.2",A2:AD112,22,FALSE)),ROUND(VLOOKUP("4.2",A2:AD112,22,FALSE),4),0) - IF(ISNUMBER(VLOOKUP("2.1",A2:AD112,22,FALSE)),ROUND(VLOOKUP("2.1",A2:AD112,22,FALSE),4),0) + IF(ISNUMBER(VLOOKUP("2.1.2",A2:AD112,22,FALSE)),ROUND(VLOOKUP("2.1.2",A2:AD112,22,FALSE),4),0)</f>
        <v>10938187</v>
      </c>
      <c r="W47" s="9">
        <f>IF(ISNUMBER(VLOOKUP("1.1",A2:AD112,23,FALSE)),ROUND(VLOOKUP("1.1",A2:AD112,23,FALSE),4),0) + IF(ISNUMBER(VLOOKUP("4.1",A2:AD112,23,FALSE)),ROUND(VLOOKUP("4.1",A2:AD112,23,FALSE),4),0) + IF(ISNUMBER(VLOOKUP("4.2",A2:AD112,23,FALSE)),ROUND(VLOOKUP("4.2",A2:AD112,23,FALSE),4),0) - IF(ISNUMBER(VLOOKUP("2.1",A2:AD112,23,FALSE)),ROUND(VLOOKUP("2.1",A2:AD112,23,FALSE),4),0) + IF(ISNUMBER(VLOOKUP("2.1.2",A2:AD112,23,FALSE)),ROUND(VLOOKUP("2.1.2",A2:AD112,23,FALSE),4),0)</f>
        <v>11616661</v>
      </c>
      <c r="X47" s="9">
        <f>IF(ISNUMBER(VLOOKUP("1.1",A2:AD112,24,FALSE)),ROUND(VLOOKUP("1.1",A2:AD112,24,FALSE),4),0) + IF(ISNUMBER(VLOOKUP("4.1",A2:AD112,24,FALSE)),ROUND(VLOOKUP("4.1",A2:AD112,24,FALSE),4),0) + IF(ISNUMBER(VLOOKUP("4.2",A2:AD112,24,FALSE)),ROUND(VLOOKUP("4.2",A2:AD112,24,FALSE),4),0) - IF(ISNUMBER(VLOOKUP("2.1",A2:AD112,24,FALSE)),ROUND(VLOOKUP("2.1",A2:AD112,24,FALSE),4),0) + IF(ISNUMBER(VLOOKUP("2.1.2",A2:AD112,24,FALSE)),ROUND(VLOOKUP("2.1.2",A2:AD112,24,FALSE),4),0)</f>
        <v>12290648</v>
      </c>
      <c r="Y47" s="9">
        <f>IF(ISNUMBER(VLOOKUP("1.1",A2:AD112,25,FALSE)),ROUND(VLOOKUP("1.1",A2:AD112,25,FALSE),4),0) + IF(ISNUMBER(VLOOKUP("4.1",A2:AD112,25,FALSE)),ROUND(VLOOKUP("4.1",A2:AD112,25,FALSE),4),0) + IF(ISNUMBER(VLOOKUP("4.2",A2:AD112,25,FALSE)),ROUND(VLOOKUP("4.2",A2:AD112,25,FALSE),4),0) - IF(ISNUMBER(VLOOKUP("2.1",A2:AD112,25,FALSE)),ROUND(VLOOKUP("2.1",A2:AD112,25,FALSE),4),0) + IF(ISNUMBER(VLOOKUP("2.1.2",A2:AD112,25,FALSE)),ROUND(VLOOKUP("2.1.2",A2:AD112,25,FALSE),4),0)</f>
        <v>12969461</v>
      </c>
      <c r="Z47" s="9">
        <f>IF(ISNUMBER(VLOOKUP("1.1",A2:AD112,26,FALSE)),ROUND(VLOOKUP("1.1",A2:AD112,26,FALSE),4),0) + IF(ISNUMBER(VLOOKUP("4.1",A2:AD112,26,FALSE)),ROUND(VLOOKUP("4.1",A2:AD112,26,FALSE),4),0) + IF(ISNUMBER(VLOOKUP("4.2",A2:AD112,26,FALSE)),ROUND(VLOOKUP("4.2",A2:AD112,26,FALSE),4),0) - IF(ISNUMBER(VLOOKUP("2.1",A2:AD112,26,FALSE)),ROUND(VLOOKUP("2.1",A2:AD112,26,FALSE),4),0) + IF(ISNUMBER(VLOOKUP("2.1.2",A2:AD112,26,FALSE)),ROUND(VLOOKUP("2.1.2",A2:AD112,26,FALSE),4),0)</f>
        <v>13668602</v>
      </c>
      <c r="AA47" s="9">
        <f>IF(ISNUMBER(VLOOKUP("1.1",A2:AD112,27,FALSE)),ROUND(VLOOKUP("1.1",A2:AD112,27,FALSE),4),0) + IF(ISNUMBER(VLOOKUP("4.1",A2:AD112,27,FALSE)),ROUND(VLOOKUP("4.1",A2:AD112,27,FALSE),4),0) + IF(ISNUMBER(VLOOKUP("4.2",A2:AD112,27,FALSE)),ROUND(VLOOKUP("4.2",A2:AD112,27,FALSE),4),0) - IF(ISNUMBER(VLOOKUP("2.1",A2:AD112,27,FALSE)),ROUND(VLOOKUP("2.1",A2:AD112,27,FALSE),4),0) + IF(ISNUMBER(VLOOKUP("2.1.2",A2:AD112,27,FALSE)),ROUND(VLOOKUP("2.1.2",A2:AD112,27,FALSE),4),0)</f>
        <v>14388633</v>
      </c>
      <c r="AB47" s="9">
        <f>IF(ISNUMBER(VLOOKUP("1.1",A2:AD112,28,FALSE)),ROUND(VLOOKUP("1.1",A2:AD112,28,FALSE),4),0) + IF(ISNUMBER(VLOOKUP("4.1",A2:AD112,28,FALSE)),ROUND(VLOOKUP("4.1",A2:AD112,28,FALSE),4),0) + IF(ISNUMBER(VLOOKUP("4.2",A2:AD112,28,FALSE)),ROUND(VLOOKUP("4.2",A2:AD112,28,FALSE),4),0) - IF(ISNUMBER(VLOOKUP("2.1",A2:AD112,28,FALSE)),ROUND(VLOOKUP("2.1",A2:AD112,28,FALSE),4),0) + IF(ISNUMBER(VLOOKUP("2.1.2",A2:AD112,28,FALSE)),ROUND(VLOOKUP("2.1.2",A2:AD112,28,FALSE),4),0)</f>
        <v>15132133</v>
      </c>
      <c r="AC47" s="9">
        <f>IF(ISNUMBER(VLOOKUP("1.1",A2:AD112,29,FALSE)),ROUND(VLOOKUP("1.1",A2:AD112,29,FALSE),4),0) + IF(ISNUMBER(VLOOKUP("4.1",A2:AD112,29,FALSE)),ROUND(VLOOKUP("4.1",A2:AD112,29,FALSE),4),0) + IF(ISNUMBER(VLOOKUP("4.2",A2:AD112,29,FALSE)),ROUND(VLOOKUP("4.2",A2:AD112,29,FALSE),4),0) - IF(ISNUMBER(VLOOKUP("2.1",A2:AD112,29,FALSE)),ROUND(VLOOKUP("2.1",A2:AD112,29,FALSE),4),0) + IF(ISNUMBER(VLOOKUP("2.1.2",A2:AD112,29,FALSE)),ROUND(VLOOKUP("2.1.2",A2:AD112,29,FALSE),4),0)</f>
        <v>15899693</v>
      </c>
      <c r="AD47" s="9">
        <f>IF(ISNUMBER(VLOOKUP("1.1",A2:AD112,30,FALSE)),ROUND(VLOOKUP("1.1",A2:AD112,30,FALSE),4),0) + IF(ISNUMBER(VLOOKUP("4.1",A2:AD112,30,FALSE)),ROUND(VLOOKUP("4.1",A2:AD112,30,FALSE),4),0) + IF(ISNUMBER(VLOOKUP("4.2",A2:AD112,30,FALSE)),ROUND(VLOOKUP("4.2",A2:AD112,30,FALSE),4),0) - IF(ISNUMBER(VLOOKUP("2.1",A2:AD112,30,FALSE)),ROUND(VLOOKUP("2.1",A2:AD112,30,FALSE),4),0) + IF(ISNUMBER(VLOOKUP("2.1.2",A2:AD112,30,FALSE)),ROUND(VLOOKUP("2.1.2",A2:AD112,30,FALSE),4),0)</f>
        <v>15956193</v>
      </c>
    </row>
    <row r="48" spans="1:30" ht="14.25" customHeight="1" x14ac:dyDescent="0.25">
      <c r="A48" s="2" t="s">
        <v>118</v>
      </c>
      <c r="B48" s="3" t="s">
        <v>119</v>
      </c>
      <c r="C48" s="23" t="s">
        <v>65</v>
      </c>
      <c r="D48" s="23" t="s">
        <v>65</v>
      </c>
      <c r="E48" s="23" t="s">
        <v>65</v>
      </c>
      <c r="F48" s="23" t="s">
        <v>65</v>
      </c>
      <c r="G48" s="23" t="s">
        <v>65</v>
      </c>
      <c r="H48" s="23" t="s">
        <v>65</v>
      </c>
      <c r="I48" s="23" t="s">
        <v>65</v>
      </c>
      <c r="J48" s="23" t="s">
        <v>65</v>
      </c>
      <c r="K48" s="23" t="s">
        <v>65</v>
      </c>
      <c r="L48" s="23" t="s">
        <v>65</v>
      </c>
      <c r="M48" s="23" t="s">
        <v>65</v>
      </c>
      <c r="N48" s="23" t="s">
        <v>65</v>
      </c>
      <c r="O48" s="23" t="s">
        <v>65</v>
      </c>
      <c r="P48" s="23" t="s">
        <v>65</v>
      </c>
      <c r="Q48" s="23" t="s">
        <v>65</v>
      </c>
      <c r="R48" s="23" t="s">
        <v>65</v>
      </c>
      <c r="S48" s="23" t="s">
        <v>65</v>
      </c>
      <c r="T48" s="23" t="s">
        <v>65</v>
      </c>
      <c r="U48" s="23" t="s">
        <v>65</v>
      </c>
      <c r="V48" s="23" t="s">
        <v>65</v>
      </c>
      <c r="W48" s="23" t="s">
        <v>65</v>
      </c>
      <c r="X48" s="23" t="s">
        <v>65</v>
      </c>
      <c r="Y48" s="23" t="s">
        <v>65</v>
      </c>
      <c r="Z48" s="23" t="s">
        <v>65</v>
      </c>
      <c r="AA48" s="23" t="s">
        <v>65</v>
      </c>
      <c r="AB48" s="23" t="s">
        <v>65</v>
      </c>
      <c r="AC48" s="23" t="s">
        <v>65</v>
      </c>
      <c r="AD48" s="23" t="s">
        <v>65</v>
      </c>
    </row>
    <row r="49" spans="1:30" ht="65.650000000000006" customHeight="1" x14ac:dyDescent="0.25">
      <c r="A49" s="12" t="s">
        <v>120</v>
      </c>
      <c r="B49" s="13" t="s">
        <v>121</v>
      </c>
      <c r="C49" s="14">
        <f>(IF(ISNUMBER(VLOOKUP("2.1.1",A2:AD112,3,FALSE)),ROUND(VLOOKUP("2.1.1",A2:AD112,3,FALSE),4),0) + IF(ISNUMBER(VLOOKUP("2.1.3.1",A2:AD112,3,FALSE)),ROUND(VLOOKUP("2.1.3.1",A2:AD112,3,FALSE),4),0) + IF(ISNUMBER(VLOOKUP("5.1",A2:AD112,3,FALSE)),ROUND(VLOOKUP("5.1",A2:AD112,3,FALSE),4),0)) / IF(ISNUMBER(VLOOKUP("1",A2:AD112,3,FALSE)),ROUND(VLOOKUP("1",A2:AD112,3,FALSE),4),0)</f>
        <v>2.0771371545797213E-2</v>
      </c>
      <c r="D49" s="14">
        <f>(IF(ISNUMBER(VLOOKUP("2.1.1",A2:AD112,4,FALSE)),ROUND(VLOOKUP("2.1.1",A2:AD112,4,FALSE),4),0) + IF(ISNUMBER(VLOOKUP("2.1.3.1",A2:AD112,4,FALSE)),ROUND(VLOOKUP("2.1.3.1",A2:AD112,4,FALSE),4),0) + IF(ISNUMBER(VLOOKUP("5.1",A2:AD112,4,FALSE)),ROUND(VLOOKUP("5.1",A2:AD112,4,FALSE),4),0)) / IF(ISNUMBER(VLOOKUP("1",A2:AD112,4,FALSE)),ROUND(VLOOKUP("1",A2:AD112,4,FALSE),4),0)</f>
        <v>1.9524625612570186E-2</v>
      </c>
      <c r="E49" s="14">
        <f>(IF(ISNUMBER(VLOOKUP("2.1.1",A2:AD112,5,FALSE)),ROUND(VLOOKUP("2.1.1",A2:AD112,5,FALSE),4),0) + IF(ISNUMBER(VLOOKUP("2.1.3.1",A2:AD112,5,FALSE)),ROUND(VLOOKUP("2.1.3.1",A2:AD112,5,FALSE),4),0) + IF(ISNUMBER(VLOOKUP("5.1",A2:AD112,5,FALSE)),ROUND(VLOOKUP("5.1",A2:AD112,5,FALSE),4),0)) / IF(ISNUMBER(VLOOKUP("1",A2:AD112,5,FALSE)),ROUND(VLOOKUP("1",A2:AD112,5,FALSE),4),0)</f>
        <v>3.478706249169617E-2</v>
      </c>
      <c r="F49" s="14">
        <f>(IF(ISNUMBER(VLOOKUP("2.1.1",A2:AD112,6,FALSE)),ROUND(VLOOKUP("2.1.1",A2:AD112,6,FALSE),4),0) + IF(ISNUMBER(VLOOKUP("2.1.3.1",A2:AD112,6,FALSE)),ROUND(VLOOKUP("2.1.3.1",A2:AD112,6,FALSE),4),0) + IF(ISNUMBER(VLOOKUP("5.1",A2:AD112,6,FALSE)),ROUND(VLOOKUP("5.1",A2:AD112,6,FALSE),4),0)) / IF(ISNUMBER(VLOOKUP("1",A2:AD112,6,FALSE)),ROUND(VLOOKUP("1",A2:AD112,6,FALSE),4),0)</f>
        <v>4.3093762751475112E-2</v>
      </c>
      <c r="G49" s="14">
        <f>(IF(ISNUMBER(VLOOKUP("2.1.1",A2:AD112,7,FALSE)),ROUND(VLOOKUP("2.1.1",A2:AD112,7,FALSE),4),0) + IF(ISNUMBER(VLOOKUP("2.1.3.1",A2:AD112,7,FALSE)),ROUND(VLOOKUP("2.1.3.1",A2:AD112,7,FALSE),4),0) + IF(ISNUMBER(VLOOKUP("5.1",A2:AD112,7,FALSE)),ROUND(VLOOKUP("5.1",A2:AD112,7,FALSE),4),0)) / IF(ISNUMBER(VLOOKUP("1",A2:AD112,7,FALSE)),ROUND(VLOOKUP("1",A2:AD112,7,FALSE),4),0)</f>
        <v>4.7523905139575148E-2</v>
      </c>
      <c r="H49" s="14">
        <f>(IF(ISNUMBER(VLOOKUP("2.1.1",A2:AD112,8,FALSE)),ROUND(VLOOKUP("2.1.1",A2:AD112,8,FALSE),4),0) + IF(ISNUMBER(VLOOKUP("2.1.3.1",A2:AD112,8,FALSE)),ROUND(VLOOKUP("2.1.3.1",A2:AD112,8,FALSE),4),0) + IF(ISNUMBER(VLOOKUP("5.1",A2:AD112,8,FALSE)),ROUND(VLOOKUP("5.1",A2:AD112,8,FALSE),4),0)) / IF(ISNUMBER(VLOOKUP("1",A2:AD112,8,FALSE)),ROUND(VLOOKUP("1",A2:AD112,8,FALSE),4),0)</f>
        <v>5.1807125180087177E-2</v>
      </c>
      <c r="I49" s="14">
        <f>(IF(ISNUMBER(VLOOKUP("2.1.1",A2:AD112,9,FALSE)),ROUND(VLOOKUP("2.1.1",A2:AD112,9,FALSE),4),0) + IF(ISNUMBER(VLOOKUP("2.1.3.1",A2:AD112,9,FALSE)),ROUND(VLOOKUP("2.1.3.1",A2:AD112,9,FALSE),4),0) + IF(ISNUMBER(VLOOKUP("5.1",A2:AD112,9,FALSE)),ROUND(VLOOKUP("5.1",A2:AD112,9,FALSE),4),0)) / IF(ISNUMBER(VLOOKUP("1",A2:AD112,9,FALSE)),ROUND(VLOOKUP("1",A2:AD112,9,FALSE),4),0)</f>
        <v>6.3742022153841546E-2</v>
      </c>
      <c r="J49" s="14">
        <f>(IF(ISNUMBER(VLOOKUP("2.1.1",A2:AD112,10,FALSE)),ROUND(VLOOKUP("2.1.1",A2:AD112,10,FALSE),4),0) + IF(ISNUMBER(VLOOKUP("2.1.3.1",A2:AD112,10,FALSE)),ROUND(VLOOKUP("2.1.3.1",A2:AD112,10,FALSE),4),0) + IF(ISNUMBER(VLOOKUP("5.1",A2:AD112,10,FALSE)),ROUND(VLOOKUP("5.1",A2:AD112,10,FALSE),4),0)) / IF(ISNUMBER(VLOOKUP("1",A2:AD112,10,FALSE)),ROUND(VLOOKUP("1",A2:AD112,10,FALSE),4),0)</f>
        <v>7.3094635878615796E-2</v>
      </c>
      <c r="K49" s="14">
        <f>(IF(ISNUMBER(VLOOKUP("2.1.1",A2:AD112,11,FALSE)),ROUND(VLOOKUP("2.1.1",A2:AD112,11,FALSE),4),0) + IF(ISNUMBER(VLOOKUP("2.1.3.1",A2:AD112,11,FALSE)),ROUND(VLOOKUP("2.1.3.1",A2:AD112,11,FALSE),4),0) + IF(ISNUMBER(VLOOKUP("5.1",A2:AD112,11,FALSE)),ROUND(VLOOKUP("5.1",A2:AD112,11,FALSE),4),0)) / IF(ISNUMBER(VLOOKUP("1",A2:AD112,11,FALSE)),ROUND(VLOOKUP("1",A2:AD112,11,FALSE),4),0)</f>
        <v>0.11378592477641521</v>
      </c>
      <c r="L49" s="14">
        <f>(IF(ISNUMBER(VLOOKUP("2.1.1",A2:AD112,12,FALSE)),ROUND(VLOOKUP("2.1.1",A2:AD112,12,FALSE),4),0) + IF(ISNUMBER(VLOOKUP("2.1.3.1",A2:AD112,12,FALSE)),ROUND(VLOOKUP("2.1.3.1",A2:AD112,12,FALSE),4),0) + IF(ISNUMBER(VLOOKUP("5.1",A2:AD112,12,FALSE)),ROUND(VLOOKUP("5.1",A2:AD112,12,FALSE),4),0)) / IF(ISNUMBER(VLOOKUP("1",A2:AD112,12,FALSE)),ROUND(VLOOKUP("1",A2:AD112,12,FALSE),4),0)</f>
        <v>9.7062763555410603E-2</v>
      </c>
      <c r="M49" s="14">
        <f>(IF(ISNUMBER(VLOOKUP("2.1.1",A2:AD112,13,FALSE)),ROUND(VLOOKUP("2.1.1",A2:AD112,13,FALSE),4),0) + IF(ISNUMBER(VLOOKUP("2.1.3.1",A2:AD112,13,FALSE)),ROUND(VLOOKUP("2.1.3.1",A2:AD112,13,FALSE),4),0) + IF(ISNUMBER(VLOOKUP("5.1",A2:AD112,13,FALSE)),ROUND(VLOOKUP("5.1",A2:AD112,13,FALSE),4),0)) / IF(ISNUMBER(VLOOKUP("1",A2:AD112,13,FALSE)),ROUND(VLOOKUP("1",A2:AD112,13,FALSE),4),0)</f>
        <v>0.11453512854444696</v>
      </c>
      <c r="N49" s="14">
        <f>(IF(ISNUMBER(VLOOKUP("2.1.1",A2:AD112,14,FALSE)),ROUND(VLOOKUP("2.1.1",A2:AD112,14,FALSE),4),0) + IF(ISNUMBER(VLOOKUP("2.1.3.1",A2:AD112,14,FALSE)),ROUND(VLOOKUP("2.1.3.1",A2:AD112,14,FALSE),4),0) + IF(ISNUMBER(VLOOKUP("5.1",A2:AD112,14,FALSE)),ROUND(VLOOKUP("5.1",A2:AD112,14,FALSE),4),0)) / IF(ISNUMBER(VLOOKUP("1",A2:AD112,14,FALSE)),ROUND(VLOOKUP("1",A2:AD112,14,FALSE),4),0)</f>
        <v>0.11337971268811746</v>
      </c>
      <c r="O49" s="14">
        <f>(IF(ISNUMBER(VLOOKUP("2.1.1",A2:AD112,15,FALSE)),ROUND(VLOOKUP("2.1.1",A2:AD112,15,FALSE),4),0) + IF(ISNUMBER(VLOOKUP("2.1.3.1",A2:AD112,15,FALSE)),ROUND(VLOOKUP("2.1.3.1",A2:AD112,15,FALSE),4),0) + IF(ISNUMBER(VLOOKUP("5.1",A2:AD112,15,FALSE)),ROUND(VLOOKUP("5.1",A2:AD112,15,FALSE),4),0)) / IF(ISNUMBER(VLOOKUP("1",A2:AD112,15,FALSE)),ROUND(VLOOKUP("1",A2:AD112,15,FALSE),4),0)</f>
        <v>0.10989131180000448</v>
      </c>
      <c r="P49" s="14">
        <f>(IF(ISNUMBER(VLOOKUP("2.1.1",A2:AD112,16,FALSE)),ROUND(VLOOKUP("2.1.1",A2:AD112,16,FALSE),4),0) + IF(ISNUMBER(VLOOKUP("2.1.3.1",A2:AD112,16,FALSE)),ROUND(VLOOKUP("2.1.3.1",A2:AD112,16,FALSE),4),0) + IF(ISNUMBER(VLOOKUP("5.1",A2:AD112,16,FALSE)),ROUND(VLOOKUP("5.1",A2:AD112,16,FALSE),4),0)) / IF(ISNUMBER(VLOOKUP("1",A2:AD112,16,FALSE)),ROUND(VLOOKUP("1",A2:AD112,16,FALSE),4),0)</f>
        <v>0.10667422555857464</v>
      </c>
      <c r="Q49" s="14">
        <f>(IF(ISNUMBER(VLOOKUP("2.1.1",A2:AD112,17,FALSE)),ROUND(VLOOKUP("2.1.1",A2:AD112,17,FALSE),4),0) + IF(ISNUMBER(VLOOKUP("2.1.3.1",A2:AD112,17,FALSE)),ROUND(VLOOKUP("2.1.3.1",A2:AD112,17,FALSE),4),0) + IF(ISNUMBER(VLOOKUP("5.1",A2:AD112,17,FALSE)),ROUND(VLOOKUP("5.1",A2:AD112,17,FALSE),4),0)) / IF(ISNUMBER(VLOOKUP("1",A2:AD112,17,FALSE)),ROUND(VLOOKUP("1",A2:AD112,17,FALSE),4),0)</f>
        <v>0.13266201434339425</v>
      </c>
      <c r="R49" s="14">
        <f>(IF(ISNUMBER(VLOOKUP("2.1.1",A2:AD112,18,FALSE)),ROUND(VLOOKUP("2.1.1",A2:AD112,18,FALSE),4),0) + IF(ISNUMBER(VLOOKUP("2.1.3.1",A2:AD112,18,FALSE)),ROUND(VLOOKUP("2.1.3.1",A2:AD112,18,FALSE),4),0) + IF(ISNUMBER(VLOOKUP("5.1",A2:AD112,18,FALSE)),ROUND(VLOOKUP("5.1",A2:AD112,18,FALSE),4),0)) / IF(ISNUMBER(VLOOKUP("1",A2:AD112,18,FALSE)),ROUND(VLOOKUP("1",A2:AD112,18,FALSE),4),0)</f>
        <v>0.10696671719419967</v>
      </c>
      <c r="S49" s="14">
        <f>(IF(ISNUMBER(VLOOKUP("2.1.1",A2:AD112,19,FALSE)),ROUND(VLOOKUP("2.1.1",A2:AD112,19,FALSE),4),0) + IF(ISNUMBER(VLOOKUP("2.1.3.1",A2:AD112,19,FALSE)),ROUND(VLOOKUP("2.1.3.1",A2:AD112,19,FALSE),4),0) + IF(ISNUMBER(VLOOKUP("5.1",A2:AD112,19,FALSE)),ROUND(VLOOKUP("5.1",A2:AD112,19,FALSE),4),0)) / IF(ISNUMBER(VLOOKUP("1",A2:AD112,19,FALSE)),ROUND(VLOOKUP("1",A2:AD112,19,FALSE),4),0)</f>
        <v>9.2468226789561681E-2</v>
      </c>
      <c r="T49" s="14">
        <f>(IF(ISNUMBER(VLOOKUP("2.1.1",A2:AD112,20,FALSE)),ROUND(VLOOKUP("2.1.1",A2:AD112,20,FALSE),4),0) + IF(ISNUMBER(VLOOKUP("2.1.3.1",A2:AD112,20,FALSE)),ROUND(VLOOKUP("2.1.3.1",A2:AD112,20,FALSE),4),0) + IF(ISNUMBER(VLOOKUP("5.1",A2:AD112,20,FALSE)),ROUND(VLOOKUP("5.1",A2:AD112,20,FALSE),4),0)) / IF(ISNUMBER(VLOOKUP("1",A2:AD112,20,FALSE)),ROUND(VLOOKUP("1",A2:AD112,20,FALSE),4),0)</f>
        <v>8.1145389573965096E-2</v>
      </c>
      <c r="U49" s="14">
        <f>(IF(ISNUMBER(VLOOKUP("2.1.1",A2:AD112,21,FALSE)),ROUND(VLOOKUP("2.1.1",A2:AD112,21,FALSE),4),0) + IF(ISNUMBER(VLOOKUP("2.1.3.1",A2:AD112,21,FALSE)),ROUND(VLOOKUP("2.1.3.1",A2:AD112,21,FALSE),4),0) + IF(ISNUMBER(VLOOKUP("5.1",A2:AD112,21,FALSE)),ROUND(VLOOKUP("5.1",A2:AD112,21,FALSE),4),0)) / IF(ISNUMBER(VLOOKUP("1",A2:AD112,21,FALSE)),ROUND(VLOOKUP("1",A2:AD112,21,FALSE),4),0)</f>
        <v>7.8691983692930179E-2</v>
      </c>
      <c r="V49" s="14">
        <f>(IF(ISNUMBER(VLOOKUP("2.1.1",A2:AD112,22,FALSE)),ROUND(VLOOKUP("2.1.1",A2:AD112,22,FALSE),4),0) + IF(ISNUMBER(VLOOKUP("2.1.3.1",A2:AD112,22,FALSE)),ROUND(VLOOKUP("2.1.3.1",A2:AD112,22,FALSE),4),0) + IF(ISNUMBER(VLOOKUP("5.1",A2:AD112,22,FALSE)),ROUND(VLOOKUP("5.1",A2:AD112,22,FALSE),4),0)) / IF(ISNUMBER(VLOOKUP("1",A2:AD112,22,FALSE)),ROUND(VLOOKUP("1",A2:AD112,22,FALSE),4),0)</f>
        <v>6.5641879981934659E-2</v>
      </c>
      <c r="W49" s="14">
        <f>(IF(ISNUMBER(VLOOKUP("2.1.1",A2:AD112,23,FALSE)),ROUND(VLOOKUP("2.1.1",A2:AD112,23,FALSE),4),0) + IF(ISNUMBER(VLOOKUP("2.1.3.1",A2:AD112,23,FALSE)),ROUND(VLOOKUP("2.1.3.1",A2:AD112,23,FALSE),4),0) + IF(ISNUMBER(VLOOKUP("5.1",A2:AD112,23,FALSE)),ROUND(VLOOKUP("5.1",A2:AD112,23,FALSE),4),0)) / IF(ISNUMBER(VLOOKUP("1",A2:AD112,23,FALSE)),ROUND(VLOOKUP("1",A2:AD112,23,FALSE),4),0)</f>
        <v>5.6632463298453305E-2</v>
      </c>
      <c r="X49" s="14">
        <f>(IF(ISNUMBER(VLOOKUP("2.1.1",A2:AD112,24,FALSE)),ROUND(VLOOKUP("2.1.1",A2:AD112,24,FALSE),4),0) + IF(ISNUMBER(VLOOKUP("2.1.3.1",A2:AD112,24,FALSE)),ROUND(VLOOKUP("2.1.3.1",A2:AD112,24,FALSE),4),0) + IF(ISNUMBER(VLOOKUP("5.1",A2:AD112,24,FALSE)),ROUND(VLOOKUP("5.1",A2:AD112,24,FALSE),4),0)) / IF(ISNUMBER(VLOOKUP("1",A2:AD112,24,FALSE)),ROUND(VLOOKUP("1",A2:AD112,24,FALSE),4),0)</f>
        <v>4.0428208385991218E-2</v>
      </c>
      <c r="Y49" s="14">
        <f>(IF(ISNUMBER(VLOOKUP("2.1.1",A2:AD112,25,FALSE)),ROUND(VLOOKUP("2.1.1",A2:AD112,25,FALSE),4),0) + IF(ISNUMBER(VLOOKUP("2.1.3.1",A2:AD112,25,FALSE)),ROUND(VLOOKUP("2.1.3.1",A2:AD112,25,FALSE),4),0) + IF(ISNUMBER(VLOOKUP("5.1",A2:AD112,25,FALSE)),ROUND(VLOOKUP("5.1",A2:AD112,25,FALSE),4),0)) / IF(ISNUMBER(VLOOKUP("1",A2:AD112,25,FALSE)),ROUND(VLOOKUP("1",A2:AD112,25,FALSE),4),0)</f>
        <v>3.8868522783938597E-2</v>
      </c>
      <c r="Z49" s="14">
        <f>(IF(ISNUMBER(VLOOKUP("2.1.1",A2:AD112,26,FALSE)),ROUND(VLOOKUP("2.1.1",A2:AD112,26,FALSE),4),0) + IF(ISNUMBER(VLOOKUP("2.1.3.1",A2:AD112,26,FALSE)),ROUND(VLOOKUP("2.1.3.1",A2:AD112,26,FALSE),4),0) + IF(ISNUMBER(VLOOKUP("5.1",A2:AD112,26,FALSE)),ROUND(VLOOKUP("5.1",A2:AD112,26,FALSE),4),0)) / IF(ISNUMBER(VLOOKUP("1",A2:AD112,26,FALSE)),ROUND(VLOOKUP("1",A2:AD112,26,FALSE),4),0)</f>
        <v>3.7358077254817171E-2</v>
      </c>
      <c r="AA49" s="14">
        <f>(IF(ISNUMBER(VLOOKUP("2.1.1",A2:AD112,27,FALSE)),ROUND(VLOOKUP("2.1.1",A2:AD112,27,FALSE),4),0) + IF(ISNUMBER(VLOOKUP("2.1.3.1",A2:AD112,27,FALSE)),ROUND(VLOOKUP("2.1.3.1",A2:AD112,27,FALSE),4),0) + IF(ISNUMBER(VLOOKUP("5.1",A2:AD112,27,FALSE)),ROUND(VLOOKUP("5.1",A2:AD112,27,FALSE),4),0)) / IF(ISNUMBER(VLOOKUP("1",A2:AD112,27,FALSE)),ROUND(VLOOKUP("1",A2:AD112,27,FALSE),4),0)</f>
        <v>3.8891203039040839E-2</v>
      </c>
      <c r="AB49" s="14">
        <f>(IF(ISNUMBER(VLOOKUP("2.1.1",A2:AD112,28,FALSE)),ROUND(VLOOKUP("2.1.1",A2:AD112,28,FALSE),4),0) + IF(ISNUMBER(VLOOKUP("2.1.3.1",A2:AD112,28,FALSE)),ROUND(VLOOKUP("2.1.3.1",A2:AD112,28,FALSE),4),0) + IF(ISNUMBER(VLOOKUP("5.1",A2:AD112,28,FALSE)),ROUND(VLOOKUP("5.1",A2:AD112,28,FALSE),4),0)) / IF(ISNUMBER(VLOOKUP("1",A2:AD112,28,FALSE)),ROUND(VLOOKUP("1",A2:AD112,28,FALSE),4),0)</f>
        <v>3.8108267277296354E-2</v>
      </c>
      <c r="AC49" s="14">
        <f>(IF(ISNUMBER(VLOOKUP("2.1.1",A2:AD112,29,FALSE)),ROUND(VLOOKUP("2.1.1",A2:AD112,29,FALSE),4),0) + IF(ISNUMBER(VLOOKUP("2.1.3.1",A2:AD112,29,FALSE)),ROUND(VLOOKUP("2.1.3.1",A2:AD112,29,FALSE),4),0) + IF(ISNUMBER(VLOOKUP("5.1",A2:AD112,29,FALSE)),ROUND(VLOOKUP("5.1",A2:AD112,29,FALSE),4),0)) / IF(ISNUMBER(VLOOKUP("1",A2:AD112,29,FALSE)),ROUND(VLOOKUP("1",A2:AD112,29,FALSE),4),0)</f>
        <v>3.8740317796953257E-2</v>
      </c>
      <c r="AD49" s="14">
        <f>(IF(ISNUMBER(VLOOKUP("2.1.1",A2:AD112,30,FALSE)),ROUND(VLOOKUP("2.1.1",A2:AD112,30,FALSE),4),0) + IF(ISNUMBER(VLOOKUP("2.1.3.1",A2:AD112,30,FALSE)),ROUND(VLOOKUP("2.1.3.1",A2:AD112,30,FALSE),4),0) + IF(ISNUMBER(VLOOKUP("5.1",A2:AD112,30,FALSE)),ROUND(VLOOKUP("5.1",A2:AD112,30,FALSE),4),0)) / IF(ISNUMBER(VLOOKUP("1",A2:AD112,30,FALSE)),ROUND(VLOOKUP("1",A2:AD112,30,FALSE),4),0)</f>
        <v>3.0074466246036199E-2</v>
      </c>
    </row>
    <row r="50" spans="1:30" ht="65.650000000000006" customHeight="1" x14ac:dyDescent="0.25">
      <c r="A50" s="12" t="s">
        <v>122</v>
      </c>
      <c r="B50" s="13" t="s">
        <v>123</v>
      </c>
      <c r="C50" s="14">
        <f>(IF(ISNUMBER(VLOOKUP("2.1.1",A2:AD112,3,FALSE)),ROUND(VLOOKUP("2.1.1",A2:AD112,3,FALSE),4),0) - IF(ISNUMBER(VLOOKUP("2.1.1.1",A2:AD112,3,FALSE)),ROUND(VLOOKUP("2.1.1.1",A2:AD112,3,FALSE),4),0) + IF(ISNUMBER(VLOOKUP("2.1.3.1",A2:AD112,3,FALSE)),ROUND(VLOOKUP("2.1.3.1",A2:AD112,3,FALSE),4),0) - IF(ISNUMBER(VLOOKUP("2.1.3.1.1",A2:AD112,3,FALSE)),ROUND(VLOOKUP("2.1.3.1.1",A2:AD112,3,FALSE),4),0) - IF(ISNUMBER(VLOOKUP("2.1.3.1.2",A2:AD112,3,FALSE)),ROUND(VLOOKUP("2.1.3.1.2",A2:AD112,3,FALSE),4),0) + IF(ISNUMBER(VLOOKUP("5.1",A2:AD112,3,FALSE)),ROUND(VLOOKUP("5.1",A2:AD112,3,FALSE),4),0) - IF(ISNUMBER(VLOOKUP("5.1.1",A2:AD112,3,FALSE)),ROUND(VLOOKUP("5.1.1",A2:AD112,3,FALSE),4),0)) / (IF(ISNUMBER(VLOOKUP("1",A2:AD112,3,FALSE)),ROUND(VLOOKUP("1",A2:AD112,3,FALSE),4),0) - IF(ISNA(VLOOKUP("15.1.1",A2:AD112,3,FALSE)),0,ROUND(VLOOKUP("15.1.1",A2:AD112,3,FALSE),4)))</f>
        <v>2.0771371545797213E-2</v>
      </c>
      <c r="D50" s="14">
        <f>(IF(ISNUMBER(VLOOKUP("2.1.1",A2:AD112,4,FALSE)),ROUND(VLOOKUP("2.1.1",A2:AD112,4,FALSE),4),0) - IF(ISNUMBER(VLOOKUP("2.1.1.1",A2:AD112,4,FALSE)),ROUND(VLOOKUP("2.1.1.1",A2:AD112,4,FALSE),4),0) + IF(ISNUMBER(VLOOKUP("2.1.3.1",A2:AD112,4,FALSE)),ROUND(VLOOKUP("2.1.3.1",A2:AD112,4,FALSE),4),0) - IF(ISNUMBER(VLOOKUP("2.1.3.1.1",A2:AD112,4,FALSE)),ROUND(VLOOKUP("2.1.3.1.1",A2:AD112,4,FALSE),4),0) - IF(ISNUMBER(VLOOKUP("2.1.3.1.2",A2:AD112,4,FALSE)),ROUND(VLOOKUP("2.1.3.1.2",A2:AD112,4,FALSE),4),0) + IF(ISNUMBER(VLOOKUP("5.1",A2:AD112,4,FALSE)),ROUND(VLOOKUP("5.1",A2:AD112,4,FALSE),4),0) - IF(ISNUMBER(VLOOKUP("5.1.1",A2:AD112,4,FALSE)),ROUND(VLOOKUP("5.1.1",A2:AD112,4,FALSE),4),0)) / (IF(ISNUMBER(VLOOKUP("1",A2:AD112,4,FALSE)),ROUND(VLOOKUP("1",A2:AD112,4,FALSE),4),0) - IF(ISNA(VLOOKUP("15.1.1",A2:AD112,4,FALSE)),0,ROUND(VLOOKUP("15.1.1",A2:AD112,4,FALSE),4)))</f>
        <v>1.9524625612570186E-2</v>
      </c>
      <c r="E50" s="14">
        <f>(IF(ISNUMBER(VLOOKUP("2.1.1",A2:AD112,5,FALSE)),ROUND(VLOOKUP("2.1.1",A2:AD112,5,FALSE),4),0) - IF(ISNUMBER(VLOOKUP("2.1.1.1",A2:AD112,5,FALSE)),ROUND(VLOOKUP("2.1.1.1",A2:AD112,5,FALSE),4),0) + IF(ISNUMBER(VLOOKUP("2.1.3.1",A2:AD112,5,FALSE)),ROUND(VLOOKUP("2.1.3.1",A2:AD112,5,FALSE),4),0) - IF(ISNUMBER(VLOOKUP("2.1.3.1.1",A2:AD112,5,FALSE)),ROUND(VLOOKUP("2.1.3.1.1",A2:AD112,5,FALSE),4),0) - IF(ISNUMBER(VLOOKUP("2.1.3.1.2",A2:AD112,5,FALSE)),ROUND(VLOOKUP("2.1.3.1.2",A2:AD112,5,FALSE),4),0) + IF(ISNUMBER(VLOOKUP("5.1",A2:AD112,5,FALSE)),ROUND(VLOOKUP("5.1",A2:AD112,5,FALSE),4),0) - IF(ISNUMBER(VLOOKUP("5.1.1",A2:AD112,5,FALSE)),ROUND(VLOOKUP("5.1.1",A2:AD112,5,FALSE),4),0)) / (IF(ISNUMBER(VLOOKUP("1",A2:AD112,5,FALSE)),ROUND(VLOOKUP("1",A2:AD112,5,FALSE),4),0) - IF(ISNA(VLOOKUP("15.1.1",A2:AD112,5,FALSE)),0,ROUND(VLOOKUP("15.1.1",A2:AD112,5,FALSE),4)))</f>
        <v>3.1425353273616896E-2</v>
      </c>
      <c r="F50" s="14">
        <f>(IF(ISNUMBER(VLOOKUP("2.1.1",A2:AD112,6,FALSE)),ROUND(VLOOKUP("2.1.1",A2:AD112,6,FALSE),4),0) - IF(ISNUMBER(VLOOKUP("2.1.1.1",A2:AD112,6,FALSE)),ROUND(VLOOKUP("2.1.1.1",A2:AD112,6,FALSE),4),0) + IF(ISNUMBER(VLOOKUP("2.1.3.1",A2:AD112,6,FALSE)),ROUND(VLOOKUP("2.1.3.1",A2:AD112,6,FALSE),4),0) - IF(ISNUMBER(VLOOKUP("2.1.3.1.1",A2:AD112,6,FALSE)),ROUND(VLOOKUP("2.1.3.1.1",A2:AD112,6,FALSE),4),0) - IF(ISNUMBER(VLOOKUP("2.1.3.1.2",A2:AD112,6,FALSE)),ROUND(VLOOKUP("2.1.3.1.2",A2:AD112,6,FALSE),4),0) + IF(ISNUMBER(VLOOKUP("5.1",A2:AD112,6,FALSE)),ROUND(VLOOKUP("5.1",A2:AD112,6,FALSE),4),0) - IF(ISNUMBER(VLOOKUP("5.1.1",A2:AD112,6,FALSE)),ROUND(VLOOKUP("5.1.1",A2:AD112,6,FALSE),4),0)) / (IF(ISNUMBER(VLOOKUP("1",A2:AD112,6,FALSE)),ROUND(VLOOKUP("1",A2:AD112,6,FALSE),4),0) - IF(ISNA(VLOOKUP("15.1.1",A2:AD112,6,FALSE)),0,ROUND(VLOOKUP("15.1.1",A2:AD112,6,FALSE),4)))</f>
        <v>3.8929320884101684E-2</v>
      </c>
      <c r="G50" s="14">
        <f>(IF(ISNUMBER(VLOOKUP("2.1.1",A2:AD112,7,FALSE)),ROUND(VLOOKUP("2.1.1",A2:AD112,7,FALSE),4),0) - IF(ISNUMBER(VLOOKUP("2.1.1.1",A2:AD112,7,FALSE)),ROUND(VLOOKUP("2.1.1.1",A2:AD112,7,FALSE),4),0) + IF(ISNUMBER(VLOOKUP("2.1.3.1",A2:AD112,7,FALSE)),ROUND(VLOOKUP("2.1.3.1",A2:AD112,7,FALSE),4),0) - IF(ISNUMBER(VLOOKUP("2.1.3.1.1",A2:AD112,7,FALSE)),ROUND(VLOOKUP("2.1.3.1.1",A2:AD112,7,FALSE),4),0) - IF(ISNUMBER(VLOOKUP("2.1.3.1.2",A2:AD112,7,FALSE)),ROUND(VLOOKUP("2.1.3.1.2",A2:AD112,7,FALSE),4),0) + IF(ISNUMBER(VLOOKUP("5.1",A2:AD112,7,FALSE)),ROUND(VLOOKUP("5.1",A2:AD112,7,FALSE),4),0) - IF(ISNUMBER(VLOOKUP("5.1.1",A2:AD112,7,FALSE)),ROUND(VLOOKUP("5.1.1",A2:AD112,7,FALSE),4),0)) / (IF(ISNUMBER(VLOOKUP("1",A2:AD112,7,FALSE)),ROUND(VLOOKUP("1",A2:AD112,7,FALSE),4),0) - IF(ISNA(VLOOKUP("15.1.1",A2:AD112,7,FALSE)),0,ROUND(VLOOKUP("15.1.1",A2:AD112,7,FALSE),4)))</f>
        <v>3.5380820339643508E-2</v>
      </c>
      <c r="H50" s="14">
        <f>(IF(ISNUMBER(VLOOKUP("2.1.1",A2:AD112,8,FALSE)),ROUND(VLOOKUP("2.1.1",A2:AD112,8,FALSE),4),0) - IF(ISNUMBER(VLOOKUP("2.1.1.1",A2:AD112,8,FALSE)),ROUND(VLOOKUP("2.1.1.1",A2:AD112,8,FALSE),4),0) + IF(ISNUMBER(VLOOKUP("2.1.3.1",A2:AD112,8,FALSE)),ROUND(VLOOKUP("2.1.3.1",A2:AD112,8,FALSE),4),0) - IF(ISNUMBER(VLOOKUP("2.1.3.1.1",A2:AD112,8,FALSE)),ROUND(VLOOKUP("2.1.3.1.1",A2:AD112,8,FALSE),4),0) - IF(ISNUMBER(VLOOKUP("2.1.3.1.2",A2:AD112,8,FALSE)),ROUND(VLOOKUP("2.1.3.1.2",A2:AD112,8,FALSE),4),0) + IF(ISNUMBER(VLOOKUP("5.1",A2:AD112,8,FALSE)),ROUND(VLOOKUP("5.1",A2:AD112,8,FALSE),4),0) - IF(ISNUMBER(VLOOKUP("5.1.1",A2:AD112,8,FALSE)),ROUND(VLOOKUP("5.1.1",A2:AD112,8,FALSE),4),0)) / (IF(ISNUMBER(VLOOKUP("1",A2:AD112,8,FALSE)),ROUND(VLOOKUP("1",A2:AD112,8,FALSE),4),0) - IF(ISNA(VLOOKUP("15.1.1",A2:AD112,8,FALSE)),0,ROUND(VLOOKUP("15.1.1",A2:AD112,8,FALSE),4)))</f>
        <v>3.9731052551720242E-2</v>
      </c>
      <c r="I50" s="14">
        <f>(IF(ISNUMBER(VLOOKUP("2.1.1",A2:AD112,9,FALSE)),ROUND(VLOOKUP("2.1.1",A2:AD112,9,FALSE),4),0) - IF(ISNUMBER(VLOOKUP("2.1.1.1",A2:AD112,9,FALSE)),ROUND(VLOOKUP("2.1.1.1",A2:AD112,9,FALSE),4),0) + IF(ISNUMBER(VLOOKUP("2.1.3.1",A2:AD112,9,FALSE)),ROUND(VLOOKUP("2.1.3.1",A2:AD112,9,FALSE),4),0) - IF(ISNUMBER(VLOOKUP("2.1.3.1.1",A2:AD112,9,FALSE)),ROUND(VLOOKUP("2.1.3.1.1",A2:AD112,9,FALSE),4),0) - IF(ISNUMBER(VLOOKUP("2.1.3.1.2",A2:AD112,9,FALSE)),ROUND(VLOOKUP("2.1.3.1.2",A2:AD112,9,FALSE),4),0) + IF(ISNUMBER(VLOOKUP("5.1",A2:AD112,9,FALSE)),ROUND(VLOOKUP("5.1",A2:AD112,9,FALSE),4),0) - IF(ISNUMBER(VLOOKUP("5.1.1",A2:AD112,9,FALSE)),ROUND(VLOOKUP("5.1.1",A2:AD112,9,FALSE),4),0)) / (IF(ISNUMBER(VLOOKUP("1",A2:AD112,9,FALSE)),ROUND(VLOOKUP("1",A2:AD112,9,FALSE),4),0) - IF(ISNA(VLOOKUP("15.1.1",A2:AD112,9,FALSE)),0,ROUND(VLOOKUP("15.1.1",A2:AD112,9,FALSE),4)))</f>
        <v>4.5133069916464257E-2</v>
      </c>
      <c r="J50" s="14">
        <f>(IF(ISNUMBER(VLOOKUP("2.1.1",A2:AD112,10,FALSE)),ROUND(VLOOKUP("2.1.1",A2:AD112,10,FALSE),4),0) - IF(ISNUMBER(VLOOKUP("2.1.1.1",A2:AD112,10,FALSE)),ROUND(VLOOKUP("2.1.1.1",A2:AD112,10,FALSE),4),0) + IF(ISNUMBER(VLOOKUP("2.1.3.1",A2:AD112,10,FALSE)),ROUND(VLOOKUP("2.1.3.1",A2:AD112,10,FALSE),4),0) - IF(ISNUMBER(VLOOKUP("2.1.3.1.1",A2:AD112,10,FALSE)),ROUND(VLOOKUP("2.1.3.1.1",A2:AD112,10,FALSE),4),0) - IF(ISNUMBER(VLOOKUP("2.1.3.1.2",A2:AD112,10,FALSE)),ROUND(VLOOKUP("2.1.3.1.2",A2:AD112,10,FALSE),4),0) + IF(ISNUMBER(VLOOKUP("5.1",A2:AD112,10,FALSE)),ROUND(VLOOKUP("5.1",A2:AD112,10,FALSE),4),0) - IF(ISNUMBER(VLOOKUP("5.1.1",A2:AD112,10,FALSE)),ROUND(VLOOKUP("5.1.1",A2:AD112,10,FALSE),4),0)) / (IF(ISNUMBER(VLOOKUP("1",A2:AD112,10,FALSE)),ROUND(VLOOKUP("1",A2:AD112,10,FALSE),4),0) - IF(ISNA(VLOOKUP("15.1.1",A2:AD112,10,FALSE)),0,ROUND(VLOOKUP("15.1.1",A2:AD112,10,FALSE),4)))</f>
        <v>5.1707606938635665E-2</v>
      </c>
      <c r="K50" s="14">
        <f>(IF(ISNUMBER(VLOOKUP("2.1.1",A2:AD112,11,FALSE)),ROUND(VLOOKUP("2.1.1",A2:AD112,11,FALSE),4),0) - IF(ISNUMBER(VLOOKUP("2.1.1.1",A2:AD112,11,FALSE)),ROUND(VLOOKUP("2.1.1.1",A2:AD112,11,FALSE),4),0) + IF(ISNUMBER(VLOOKUP("2.1.3.1",A2:AD112,11,FALSE)),ROUND(VLOOKUP("2.1.3.1",A2:AD112,11,FALSE),4),0) - IF(ISNUMBER(VLOOKUP("2.1.3.1.1",A2:AD112,11,FALSE)),ROUND(VLOOKUP("2.1.3.1.1",A2:AD112,11,FALSE),4),0) - IF(ISNUMBER(VLOOKUP("2.1.3.1.2",A2:AD112,11,FALSE)),ROUND(VLOOKUP("2.1.3.1.2",A2:AD112,11,FALSE),4),0) + IF(ISNUMBER(VLOOKUP("5.1",A2:AD112,11,FALSE)),ROUND(VLOOKUP("5.1",A2:AD112,11,FALSE),4),0) - IF(ISNUMBER(VLOOKUP("5.1.1",A2:AD112,11,FALSE)),ROUND(VLOOKUP("5.1.1",A2:AD112,11,FALSE),4),0)) / (IF(ISNUMBER(VLOOKUP("1",A2:AD112,11,FALSE)),ROUND(VLOOKUP("1",A2:AD112,11,FALSE),4),0) - IF(ISNA(VLOOKUP("15.1.1",A2:AD112,11,FALSE)),0,ROUND(VLOOKUP("15.1.1",A2:AD112,11,FALSE),4)))</f>
        <v>0.10209308226467732</v>
      </c>
      <c r="L50" s="14">
        <f>(IF(ISNUMBER(VLOOKUP("2.1.1",A2:AD112,12,FALSE)),ROUND(VLOOKUP("2.1.1",A2:AD112,12,FALSE),4),0) - IF(ISNUMBER(VLOOKUP("2.1.1.1",A2:AD112,12,FALSE)),ROUND(VLOOKUP("2.1.1.1",A2:AD112,12,FALSE),4),0) + IF(ISNUMBER(VLOOKUP("2.1.3.1",A2:AD112,12,FALSE)),ROUND(VLOOKUP("2.1.3.1",A2:AD112,12,FALSE),4),0) - IF(ISNUMBER(VLOOKUP("2.1.3.1.1",A2:AD112,12,FALSE)),ROUND(VLOOKUP("2.1.3.1.1",A2:AD112,12,FALSE),4),0) - IF(ISNUMBER(VLOOKUP("2.1.3.1.2",A2:AD112,12,FALSE)),ROUND(VLOOKUP("2.1.3.1.2",A2:AD112,12,FALSE),4),0) + IF(ISNUMBER(VLOOKUP("5.1",A2:AD112,12,FALSE)),ROUND(VLOOKUP("5.1",A2:AD112,12,FALSE),4),0) - IF(ISNUMBER(VLOOKUP("5.1.1",A2:AD112,12,FALSE)),ROUND(VLOOKUP("5.1.1",A2:AD112,12,FALSE),4),0)) / (IF(ISNUMBER(VLOOKUP("1",A2:AD112,12,FALSE)),ROUND(VLOOKUP("1",A2:AD112,12,FALSE),4),0) - IF(ISNA(VLOOKUP("15.1.1",A2:AD112,12,FALSE)),0,ROUND(VLOOKUP("15.1.1",A2:AD112,12,FALSE),4)))</f>
        <v>9.068920206015274E-2</v>
      </c>
      <c r="M50" s="14">
        <f>(IF(ISNUMBER(VLOOKUP("2.1.1",A2:AD112,13,FALSE)),ROUND(VLOOKUP("2.1.1",A2:AD112,13,FALSE),4),0) - IF(ISNUMBER(VLOOKUP("2.1.1.1",A2:AD112,13,FALSE)),ROUND(VLOOKUP("2.1.1.1",A2:AD112,13,FALSE),4),0) + IF(ISNUMBER(VLOOKUP("2.1.3.1",A2:AD112,13,FALSE)),ROUND(VLOOKUP("2.1.3.1",A2:AD112,13,FALSE),4),0) - IF(ISNUMBER(VLOOKUP("2.1.3.1.1",A2:AD112,13,FALSE)),ROUND(VLOOKUP("2.1.3.1.1",A2:AD112,13,FALSE),4),0) - IF(ISNUMBER(VLOOKUP("2.1.3.1.2",A2:AD112,13,FALSE)),ROUND(VLOOKUP("2.1.3.1.2",A2:AD112,13,FALSE),4),0) + IF(ISNUMBER(VLOOKUP("5.1",A2:AD112,13,FALSE)),ROUND(VLOOKUP("5.1",A2:AD112,13,FALSE),4),0) - IF(ISNUMBER(VLOOKUP("5.1.1",A2:AD112,13,FALSE)),ROUND(VLOOKUP("5.1.1",A2:AD112,13,FALSE),4),0)) / (IF(ISNUMBER(VLOOKUP("1",A2:AD112,13,FALSE)),ROUND(VLOOKUP("1",A2:AD112,13,FALSE),4),0) - IF(ISNA(VLOOKUP("15.1.1",A2:AD112,13,FALSE)),0,ROUND(VLOOKUP("15.1.1",A2:AD112,13,FALSE),4)))</f>
        <v>0.10636344705953851</v>
      </c>
      <c r="N50" s="14">
        <f>(IF(ISNUMBER(VLOOKUP("2.1.1",A2:AD112,14,FALSE)),ROUND(VLOOKUP("2.1.1",A2:AD112,14,FALSE),4),0) - IF(ISNUMBER(VLOOKUP("2.1.1.1",A2:AD112,14,FALSE)),ROUND(VLOOKUP("2.1.1.1",A2:AD112,14,FALSE),4),0) + IF(ISNUMBER(VLOOKUP("2.1.3.1",A2:AD112,14,FALSE)),ROUND(VLOOKUP("2.1.3.1",A2:AD112,14,FALSE),4),0) - IF(ISNUMBER(VLOOKUP("2.1.3.1.1",A2:AD112,14,FALSE)),ROUND(VLOOKUP("2.1.3.1.1",A2:AD112,14,FALSE),4),0) - IF(ISNUMBER(VLOOKUP("2.1.3.1.2",A2:AD112,14,FALSE)),ROUND(VLOOKUP("2.1.3.1.2",A2:AD112,14,FALSE),4),0) + IF(ISNUMBER(VLOOKUP("5.1",A2:AD112,14,FALSE)),ROUND(VLOOKUP("5.1",A2:AD112,14,FALSE),4),0) - IF(ISNUMBER(VLOOKUP("5.1.1",A2:AD112,14,FALSE)),ROUND(VLOOKUP("5.1.1",A2:AD112,14,FALSE),4),0)) / (IF(ISNUMBER(VLOOKUP("1",A2:AD112,14,FALSE)),ROUND(VLOOKUP("1",A2:AD112,14,FALSE),4),0) - IF(ISNA(VLOOKUP("15.1.1",A2:AD112,14,FALSE)),0,ROUND(VLOOKUP("15.1.1",A2:AD112,14,FALSE),4)))</f>
        <v>0.1055046939742</v>
      </c>
      <c r="O50" s="14">
        <f>(IF(ISNUMBER(VLOOKUP("2.1.1",A2:AD112,15,FALSE)),ROUND(VLOOKUP("2.1.1",A2:AD112,15,FALSE),4),0) - IF(ISNUMBER(VLOOKUP("2.1.1.1",A2:AD112,15,FALSE)),ROUND(VLOOKUP("2.1.1.1",A2:AD112,15,FALSE),4),0) + IF(ISNUMBER(VLOOKUP("2.1.3.1",A2:AD112,15,FALSE)),ROUND(VLOOKUP("2.1.3.1",A2:AD112,15,FALSE),4),0) - IF(ISNUMBER(VLOOKUP("2.1.3.1.1",A2:AD112,15,FALSE)),ROUND(VLOOKUP("2.1.3.1.1",A2:AD112,15,FALSE),4),0) - IF(ISNUMBER(VLOOKUP("2.1.3.1.2",A2:AD112,15,FALSE)),ROUND(VLOOKUP("2.1.3.1.2",A2:AD112,15,FALSE),4),0) + IF(ISNUMBER(VLOOKUP("5.1",A2:AD112,15,FALSE)),ROUND(VLOOKUP("5.1",A2:AD112,15,FALSE),4),0) - IF(ISNUMBER(VLOOKUP("5.1.1",A2:AD112,15,FALSE)),ROUND(VLOOKUP("5.1.1",A2:AD112,15,FALSE),4),0)) / (IF(ISNUMBER(VLOOKUP("1",A2:AD112,15,FALSE)),ROUND(VLOOKUP("1",A2:AD112,15,FALSE),4),0) - IF(ISNA(VLOOKUP("15.1.1",A2:AD112,15,FALSE)),0,ROUND(VLOOKUP("15.1.1",A2:AD112,15,FALSE),4)))</f>
        <v>0.10230407288107272</v>
      </c>
      <c r="P50" s="14">
        <f>(IF(ISNUMBER(VLOOKUP("2.1.1",A2:AD112,16,FALSE)),ROUND(VLOOKUP("2.1.1",A2:AD112,16,FALSE),4),0) - IF(ISNUMBER(VLOOKUP("2.1.1.1",A2:AD112,16,FALSE)),ROUND(VLOOKUP("2.1.1.1",A2:AD112,16,FALSE),4),0) + IF(ISNUMBER(VLOOKUP("2.1.3.1",A2:AD112,16,FALSE)),ROUND(VLOOKUP("2.1.3.1",A2:AD112,16,FALSE),4),0) - IF(ISNUMBER(VLOOKUP("2.1.3.1.1",A2:AD112,16,FALSE)),ROUND(VLOOKUP("2.1.3.1.1",A2:AD112,16,FALSE),4),0) - IF(ISNUMBER(VLOOKUP("2.1.3.1.2",A2:AD112,16,FALSE)),ROUND(VLOOKUP("2.1.3.1.2",A2:AD112,16,FALSE),4),0) + IF(ISNUMBER(VLOOKUP("5.1",A2:AD112,16,FALSE)),ROUND(VLOOKUP("5.1",A2:AD112,16,FALSE),4),0) - IF(ISNUMBER(VLOOKUP("5.1.1",A2:AD112,16,FALSE)),ROUND(VLOOKUP("5.1.1",A2:AD112,16,FALSE),4),0)) / (IF(ISNUMBER(VLOOKUP("1",A2:AD112,16,FALSE)),ROUND(VLOOKUP("1",A2:AD112,16,FALSE),4),0) - IF(ISNA(VLOOKUP("15.1.1",A2:AD112,16,FALSE)),0,ROUND(VLOOKUP("15.1.1",A2:AD112,16,FALSE),4)))</f>
        <v>9.9316644949532046E-2</v>
      </c>
      <c r="Q50" s="14">
        <f>(IF(ISNUMBER(VLOOKUP("2.1.1",A2:AD112,17,FALSE)),ROUND(VLOOKUP("2.1.1",A2:AD112,17,FALSE),4),0) - IF(ISNUMBER(VLOOKUP("2.1.1.1",A2:AD112,17,FALSE)),ROUND(VLOOKUP("2.1.1.1",A2:AD112,17,FALSE),4),0) + IF(ISNUMBER(VLOOKUP("2.1.3.1",A2:AD112,17,FALSE)),ROUND(VLOOKUP("2.1.3.1",A2:AD112,17,FALSE),4),0) - IF(ISNUMBER(VLOOKUP("2.1.3.1.1",A2:AD112,17,FALSE)),ROUND(VLOOKUP("2.1.3.1.1",A2:AD112,17,FALSE),4),0) - IF(ISNUMBER(VLOOKUP("2.1.3.1.2",A2:AD112,17,FALSE)),ROUND(VLOOKUP("2.1.3.1.2",A2:AD112,17,FALSE),4),0) + IF(ISNUMBER(VLOOKUP("5.1",A2:AD112,17,FALSE)),ROUND(VLOOKUP("5.1",A2:AD112,17,FALSE),4),0) - IF(ISNUMBER(VLOOKUP("5.1.1",A2:AD112,17,FALSE)),ROUND(VLOOKUP("5.1.1",A2:AD112,17,FALSE),4),0)) / (IF(ISNUMBER(VLOOKUP("1",A2:AD112,17,FALSE)),ROUND(VLOOKUP("1",A2:AD112,17,FALSE),4),0) - IF(ISNA(VLOOKUP("15.1.1",A2:AD112,17,FALSE)),0,ROUND(VLOOKUP("15.1.1",A2:AD112,17,FALSE),4)))</f>
        <v>0.11902623521369157</v>
      </c>
      <c r="R50" s="14">
        <f>(IF(ISNUMBER(VLOOKUP("2.1.1",A2:AD112,18,FALSE)),ROUND(VLOOKUP("2.1.1",A2:AD112,18,FALSE),4),0) - IF(ISNUMBER(VLOOKUP("2.1.1.1",A2:AD112,18,FALSE)),ROUND(VLOOKUP("2.1.1.1",A2:AD112,18,FALSE),4),0) + IF(ISNUMBER(VLOOKUP("2.1.3.1",A2:AD112,18,FALSE)),ROUND(VLOOKUP("2.1.3.1",A2:AD112,18,FALSE),4),0) - IF(ISNUMBER(VLOOKUP("2.1.3.1.1",A2:AD112,18,FALSE)),ROUND(VLOOKUP("2.1.3.1.1",A2:AD112,18,FALSE),4),0) - IF(ISNUMBER(VLOOKUP("2.1.3.1.2",A2:AD112,18,FALSE)),ROUND(VLOOKUP("2.1.3.1.2",A2:AD112,18,FALSE),4),0) + IF(ISNUMBER(VLOOKUP("5.1",A2:AD112,18,FALSE)),ROUND(VLOOKUP("5.1",A2:AD112,18,FALSE),4),0) - IF(ISNUMBER(VLOOKUP("5.1.1",A2:AD112,18,FALSE)),ROUND(VLOOKUP("5.1.1",A2:AD112,18,FALSE),4),0)) / (IF(ISNUMBER(VLOOKUP("1",A2:AD112,18,FALSE)),ROUND(VLOOKUP("1",A2:AD112,18,FALSE),4),0) - IF(ISNA(VLOOKUP("15.1.1",A2:AD112,18,FALSE)),0,ROUND(VLOOKUP("15.1.1",A2:AD112,18,FALSE),4)))</f>
        <v>0.10031444101414616</v>
      </c>
      <c r="S50" s="14">
        <f>(IF(ISNUMBER(VLOOKUP("2.1.1",A2:AD112,19,FALSE)),ROUND(VLOOKUP("2.1.1",A2:AD112,19,FALSE),4),0) - IF(ISNUMBER(VLOOKUP("2.1.1.1",A2:AD112,19,FALSE)),ROUND(VLOOKUP("2.1.1.1",A2:AD112,19,FALSE),4),0) + IF(ISNUMBER(VLOOKUP("2.1.3.1",A2:AD112,19,FALSE)),ROUND(VLOOKUP("2.1.3.1",A2:AD112,19,FALSE),4),0) - IF(ISNUMBER(VLOOKUP("2.1.3.1.1",A2:AD112,19,FALSE)),ROUND(VLOOKUP("2.1.3.1.1",A2:AD112,19,FALSE),4),0) - IF(ISNUMBER(VLOOKUP("2.1.3.1.2",A2:AD112,19,FALSE)),ROUND(VLOOKUP("2.1.3.1.2",A2:AD112,19,FALSE),4),0) + IF(ISNUMBER(VLOOKUP("5.1",A2:AD112,19,FALSE)),ROUND(VLOOKUP("5.1",A2:AD112,19,FALSE),4),0) - IF(ISNUMBER(VLOOKUP("5.1.1",A2:AD112,19,FALSE)),ROUND(VLOOKUP("5.1.1",A2:AD112,19,FALSE),4),0)) / (IF(ISNUMBER(VLOOKUP("1",A2:AD112,19,FALSE)),ROUND(VLOOKUP("1",A2:AD112,19,FALSE),4),0) - IF(ISNA(VLOOKUP("15.1.1",A2:AD112,19,FALSE)),0,ROUND(VLOOKUP("15.1.1",A2:AD112,19,FALSE),4)))</f>
        <v>9.2468226789561681E-2</v>
      </c>
      <c r="T50" s="14">
        <f>(IF(ISNUMBER(VLOOKUP("2.1.1",A2:AD112,20,FALSE)),ROUND(VLOOKUP("2.1.1",A2:AD112,20,FALSE),4),0) - IF(ISNUMBER(VLOOKUP("2.1.1.1",A2:AD112,20,FALSE)),ROUND(VLOOKUP("2.1.1.1",A2:AD112,20,FALSE),4),0) + IF(ISNUMBER(VLOOKUP("2.1.3.1",A2:AD112,20,FALSE)),ROUND(VLOOKUP("2.1.3.1",A2:AD112,20,FALSE),4),0) - IF(ISNUMBER(VLOOKUP("2.1.3.1.1",A2:AD112,20,FALSE)),ROUND(VLOOKUP("2.1.3.1.1",A2:AD112,20,FALSE),4),0) - IF(ISNUMBER(VLOOKUP("2.1.3.1.2",A2:AD112,20,FALSE)),ROUND(VLOOKUP("2.1.3.1.2",A2:AD112,20,FALSE),4),0) + IF(ISNUMBER(VLOOKUP("5.1",A2:AD112,20,FALSE)),ROUND(VLOOKUP("5.1",A2:AD112,20,FALSE),4),0) - IF(ISNUMBER(VLOOKUP("5.1.1",A2:AD112,20,FALSE)),ROUND(VLOOKUP("5.1.1",A2:AD112,20,FALSE),4),0)) / (IF(ISNUMBER(VLOOKUP("1",A2:AD112,20,FALSE)),ROUND(VLOOKUP("1",A2:AD112,20,FALSE),4),0) - IF(ISNA(VLOOKUP("15.1.1",A2:AD112,20,FALSE)),0,ROUND(VLOOKUP("15.1.1",A2:AD112,20,FALSE),4)))</f>
        <v>8.1145389573965096E-2</v>
      </c>
      <c r="U50" s="14">
        <f>(IF(ISNUMBER(VLOOKUP("2.1.1",A2:AD112,21,FALSE)),ROUND(VLOOKUP("2.1.1",A2:AD112,21,FALSE),4),0) - IF(ISNUMBER(VLOOKUP("2.1.1.1",A2:AD112,21,FALSE)),ROUND(VLOOKUP("2.1.1.1",A2:AD112,21,FALSE),4),0) + IF(ISNUMBER(VLOOKUP("2.1.3.1",A2:AD112,21,FALSE)),ROUND(VLOOKUP("2.1.3.1",A2:AD112,21,FALSE),4),0) - IF(ISNUMBER(VLOOKUP("2.1.3.1.1",A2:AD112,21,FALSE)),ROUND(VLOOKUP("2.1.3.1.1",A2:AD112,21,FALSE),4),0) - IF(ISNUMBER(VLOOKUP("2.1.3.1.2",A2:AD112,21,FALSE)),ROUND(VLOOKUP("2.1.3.1.2",A2:AD112,21,FALSE),4),0) + IF(ISNUMBER(VLOOKUP("5.1",A2:AD112,21,FALSE)),ROUND(VLOOKUP("5.1",A2:AD112,21,FALSE),4),0) - IF(ISNUMBER(VLOOKUP("5.1.1",A2:AD112,21,FALSE)),ROUND(VLOOKUP("5.1.1",A2:AD112,21,FALSE),4),0)) / (IF(ISNUMBER(VLOOKUP("1",A2:AD112,21,FALSE)),ROUND(VLOOKUP("1",A2:AD112,21,FALSE),4),0) - IF(ISNA(VLOOKUP("15.1.1",A2:AD112,21,FALSE)),0,ROUND(VLOOKUP("15.1.1",A2:AD112,21,FALSE),4)))</f>
        <v>7.8691983692930179E-2</v>
      </c>
      <c r="V50" s="14">
        <f>(IF(ISNUMBER(VLOOKUP("2.1.1",A2:AD112,22,FALSE)),ROUND(VLOOKUP("2.1.1",A2:AD112,22,FALSE),4),0) - IF(ISNUMBER(VLOOKUP("2.1.1.1",A2:AD112,22,FALSE)),ROUND(VLOOKUP("2.1.1.1",A2:AD112,22,FALSE),4),0) + IF(ISNUMBER(VLOOKUP("2.1.3.1",A2:AD112,22,FALSE)),ROUND(VLOOKUP("2.1.3.1",A2:AD112,22,FALSE),4),0) - IF(ISNUMBER(VLOOKUP("2.1.3.1.1",A2:AD112,22,FALSE)),ROUND(VLOOKUP("2.1.3.1.1",A2:AD112,22,FALSE),4),0) - IF(ISNUMBER(VLOOKUP("2.1.3.1.2",A2:AD112,22,FALSE)),ROUND(VLOOKUP("2.1.3.1.2",A2:AD112,22,FALSE),4),0) + IF(ISNUMBER(VLOOKUP("5.1",A2:AD112,22,FALSE)),ROUND(VLOOKUP("5.1",A2:AD112,22,FALSE),4),0) - IF(ISNUMBER(VLOOKUP("5.1.1",A2:AD112,22,FALSE)),ROUND(VLOOKUP("5.1.1",A2:AD112,22,FALSE),4),0)) / (IF(ISNUMBER(VLOOKUP("1",A2:AD112,22,FALSE)),ROUND(VLOOKUP("1",A2:AD112,22,FALSE),4),0) - IF(ISNA(VLOOKUP("15.1.1",A2:AD112,22,FALSE)),0,ROUND(VLOOKUP("15.1.1",A2:AD112,22,FALSE),4)))</f>
        <v>6.5641879981934659E-2</v>
      </c>
      <c r="W50" s="14">
        <f>(IF(ISNUMBER(VLOOKUP("2.1.1",A2:AD112,23,FALSE)),ROUND(VLOOKUP("2.1.1",A2:AD112,23,FALSE),4),0) - IF(ISNUMBER(VLOOKUP("2.1.1.1",A2:AD112,23,FALSE)),ROUND(VLOOKUP("2.1.1.1",A2:AD112,23,FALSE),4),0) + IF(ISNUMBER(VLOOKUP("2.1.3.1",A2:AD112,23,FALSE)),ROUND(VLOOKUP("2.1.3.1",A2:AD112,23,FALSE),4),0) - IF(ISNUMBER(VLOOKUP("2.1.3.1.1",A2:AD112,23,FALSE)),ROUND(VLOOKUP("2.1.3.1.1",A2:AD112,23,FALSE),4),0) - IF(ISNUMBER(VLOOKUP("2.1.3.1.2",A2:AD112,23,FALSE)),ROUND(VLOOKUP("2.1.3.1.2",A2:AD112,23,FALSE),4),0) + IF(ISNUMBER(VLOOKUP("5.1",A2:AD112,23,FALSE)),ROUND(VLOOKUP("5.1",A2:AD112,23,FALSE),4),0) - IF(ISNUMBER(VLOOKUP("5.1.1",A2:AD112,23,FALSE)),ROUND(VLOOKUP("5.1.1",A2:AD112,23,FALSE),4),0)) / (IF(ISNUMBER(VLOOKUP("1",A2:AD112,23,FALSE)),ROUND(VLOOKUP("1",A2:AD112,23,FALSE),4),0) - IF(ISNA(VLOOKUP("15.1.1",A2:AD112,23,FALSE)),0,ROUND(VLOOKUP("15.1.1",A2:AD112,23,FALSE),4)))</f>
        <v>5.6632463298453305E-2</v>
      </c>
      <c r="X50" s="14">
        <f>(IF(ISNUMBER(VLOOKUP("2.1.1",A2:AD112,24,FALSE)),ROUND(VLOOKUP("2.1.1",A2:AD112,24,FALSE),4),0) - IF(ISNUMBER(VLOOKUP("2.1.1.1",A2:AD112,24,FALSE)),ROUND(VLOOKUP("2.1.1.1",A2:AD112,24,FALSE),4),0) + IF(ISNUMBER(VLOOKUP("2.1.3.1",A2:AD112,24,FALSE)),ROUND(VLOOKUP("2.1.3.1",A2:AD112,24,FALSE),4),0) - IF(ISNUMBER(VLOOKUP("2.1.3.1.1",A2:AD112,24,FALSE)),ROUND(VLOOKUP("2.1.3.1.1",A2:AD112,24,FALSE),4),0) - IF(ISNUMBER(VLOOKUP("2.1.3.1.2",A2:AD112,24,FALSE)),ROUND(VLOOKUP("2.1.3.1.2",A2:AD112,24,FALSE),4),0) + IF(ISNUMBER(VLOOKUP("5.1",A2:AD112,24,FALSE)),ROUND(VLOOKUP("5.1",A2:AD112,24,FALSE),4),0) - IF(ISNUMBER(VLOOKUP("5.1.1",A2:AD112,24,FALSE)),ROUND(VLOOKUP("5.1.1",A2:AD112,24,FALSE),4),0)) / (IF(ISNUMBER(VLOOKUP("1",A2:AD112,24,FALSE)),ROUND(VLOOKUP("1",A2:AD112,24,FALSE),4),0) - IF(ISNA(VLOOKUP("15.1.1",A2:AD112,24,FALSE)),0,ROUND(VLOOKUP("15.1.1",A2:AD112,24,FALSE),4)))</f>
        <v>4.0428208385991218E-2</v>
      </c>
      <c r="Y50" s="14">
        <f>(IF(ISNUMBER(VLOOKUP("2.1.1",A2:AD112,25,FALSE)),ROUND(VLOOKUP("2.1.1",A2:AD112,25,FALSE),4),0) - IF(ISNUMBER(VLOOKUP("2.1.1.1",A2:AD112,25,FALSE)),ROUND(VLOOKUP("2.1.1.1",A2:AD112,25,FALSE),4),0) + IF(ISNUMBER(VLOOKUP("2.1.3.1",A2:AD112,25,FALSE)),ROUND(VLOOKUP("2.1.3.1",A2:AD112,25,FALSE),4),0) - IF(ISNUMBER(VLOOKUP("2.1.3.1.1",A2:AD112,25,FALSE)),ROUND(VLOOKUP("2.1.3.1.1",A2:AD112,25,FALSE),4),0) - IF(ISNUMBER(VLOOKUP("2.1.3.1.2",A2:AD112,25,FALSE)),ROUND(VLOOKUP("2.1.3.1.2",A2:AD112,25,FALSE),4),0) + IF(ISNUMBER(VLOOKUP("5.1",A2:AD112,25,FALSE)),ROUND(VLOOKUP("5.1",A2:AD112,25,FALSE),4),0) - IF(ISNUMBER(VLOOKUP("5.1.1",A2:AD112,25,FALSE)),ROUND(VLOOKUP("5.1.1",A2:AD112,25,FALSE),4),0)) / (IF(ISNUMBER(VLOOKUP("1",A2:AD112,25,FALSE)),ROUND(VLOOKUP("1",A2:AD112,25,FALSE),4),0) - IF(ISNA(VLOOKUP("15.1.1",A2:AD112,25,FALSE)),0,ROUND(VLOOKUP("15.1.1",A2:AD112,25,FALSE),4)))</f>
        <v>3.8868522783938597E-2</v>
      </c>
      <c r="Z50" s="14">
        <f>(IF(ISNUMBER(VLOOKUP("2.1.1",A2:AD112,26,FALSE)),ROUND(VLOOKUP("2.1.1",A2:AD112,26,FALSE),4),0) - IF(ISNUMBER(VLOOKUP("2.1.1.1",A2:AD112,26,FALSE)),ROUND(VLOOKUP("2.1.1.1",A2:AD112,26,FALSE),4),0) + IF(ISNUMBER(VLOOKUP("2.1.3.1",A2:AD112,26,FALSE)),ROUND(VLOOKUP("2.1.3.1",A2:AD112,26,FALSE),4),0) - IF(ISNUMBER(VLOOKUP("2.1.3.1.1",A2:AD112,26,FALSE)),ROUND(VLOOKUP("2.1.3.1.1",A2:AD112,26,FALSE),4),0) - IF(ISNUMBER(VLOOKUP("2.1.3.1.2",A2:AD112,26,FALSE)),ROUND(VLOOKUP("2.1.3.1.2",A2:AD112,26,FALSE),4),0) + IF(ISNUMBER(VLOOKUP("5.1",A2:AD112,26,FALSE)),ROUND(VLOOKUP("5.1",A2:AD112,26,FALSE),4),0) - IF(ISNUMBER(VLOOKUP("5.1.1",A2:AD112,26,FALSE)),ROUND(VLOOKUP("5.1.1",A2:AD112,26,FALSE),4),0)) / (IF(ISNUMBER(VLOOKUP("1",A2:AD112,26,FALSE)),ROUND(VLOOKUP("1",A2:AD112,26,FALSE),4),0) - IF(ISNA(VLOOKUP("15.1.1",A2:AD112,26,FALSE)),0,ROUND(VLOOKUP("15.1.1",A2:AD112,26,FALSE),4)))</f>
        <v>3.7358077254817171E-2</v>
      </c>
      <c r="AA50" s="14">
        <f>(IF(ISNUMBER(VLOOKUP("2.1.1",A2:AD112,27,FALSE)),ROUND(VLOOKUP("2.1.1",A2:AD112,27,FALSE),4),0) - IF(ISNUMBER(VLOOKUP("2.1.1.1",A2:AD112,27,FALSE)),ROUND(VLOOKUP("2.1.1.1",A2:AD112,27,FALSE),4),0) + IF(ISNUMBER(VLOOKUP("2.1.3.1",A2:AD112,27,FALSE)),ROUND(VLOOKUP("2.1.3.1",A2:AD112,27,FALSE),4),0) - IF(ISNUMBER(VLOOKUP("2.1.3.1.1",A2:AD112,27,FALSE)),ROUND(VLOOKUP("2.1.3.1.1",A2:AD112,27,FALSE),4),0) - IF(ISNUMBER(VLOOKUP("2.1.3.1.2",A2:AD112,27,FALSE)),ROUND(VLOOKUP("2.1.3.1.2",A2:AD112,27,FALSE),4),0) + IF(ISNUMBER(VLOOKUP("5.1",A2:AD112,27,FALSE)),ROUND(VLOOKUP("5.1",A2:AD112,27,FALSE),4),0) - IF(ISNUMBER(VLOOKUP("5.1.1",A2:AD112,27,FALSE)),ROUND(VLOOKUP("5.1.1",A2:AD112,27,FALSE),4),0)) / (IF(ISNUMBER(VLOOKUP("1",A2:AD112,27,FALSE)),ROUND(VLOOKUP("1",A2:AD112,27,FALSE),4),0) - IF(ISNA(VLOOKUP("15.1.1",A2:AD112,27,FALSE)),0,ROUND(VLOOKUP("15.1.1",A2:AD112,27,FALSE),4)))</f>
        <v>3.8891203039040839E-2</v>
      </c>
      <c r="AB50" s="14">
        <f>(IF(ISNUMBER(VLOOKUP("2.1.1",A2:AD112,28,FALSE)),ROUND(VLOOKUP("2.1.1",A2:AD112,28,FALSE),4),0) - IF(ISNUMBER(VLOOKUP("2.1.1.1",A2:AD112,28,FALSE)),ROUND(VLOOKUP("2.1.1.1",A2:AD112,28,FALSE),4),0) + IF(ISNUMBER(VLOOKUP("2.1.3.1",A2:AD112,28,FALSE)),ROUND(VLOOKUP("2.1.3.1",A2:AD112,28,FALSE),4),0) - IF(ISNUMBER(VLOOKUP("2.1.3.1.1",A2:AD112,28,FALSE)),ROUND(VLOOKUP("2.1.3.1.1",A2:AD112,28,FALSE),4),0) - IF(ISNUMBER(VLOOKUP("2.1.3.1.2",A2:AD112,28,FALSE)),ROUND(VLOOKUP("2.1.3.1.2",A2:AD112,28,FALSE),4),0) + IF(ISNUMBER(VLOOKUP("5.1",A2:AD112,28,FALSE)),ROUND(VLOOKUP("5.1",A2:AD112,28,FALSE),4),0) - IF(ISNUMBER(VLOOKUP("5.1.1",A2:AD112,28,FALSE)),ROUND(VLOOKUP("5.1.1",A2:AD112,28,FALSE),4),0)) / (IF(ISNUMBER(VLOOKUP("1",A2:AD112,28,FALSE)),ROUND(VLOOKUP("1",A2:AD112,28,FALSE),4),0) - IF(ISNA(VLOOKUP("15.1.1",A2:AD112,28,FALSE)),0,ROUND(VLOOKUP("15.1.1",A2:AD112,28,FALSE),4)))</f>
        <v>3.8108267277296354E-2</v>
      </c>
      <c r="AC50" s="14">
        <f>(IF(ISNUMBER(VLOOKUP("2.1.1",A2:AD112,29,FALSE)),ROUND(VLOOKUP("2.1.1",A2:AD112,29,FALSE),4),0) - IF(ISNUMBER(VLOOKUP("2.1.1.1",A2:AD112,29,FALSE)),ROUND(VLOOKUP("2.1.1.1",A2:AD112,29,FALSE),4),0) + IF(ISNUMBER(VLOOKUP("2.1.3.1",A2:AD112,29,FALSE)),ROUND(VLOOKUP("2.1.3.1",A2:AD112,29,FALSE),4),0) - IF(ISNUMBER(VLOOKUP("2.1.3.1.1",A2:AD112,29,FALSE)),ROUND(VLOOKUP("2.1.3.1.1",A2:AD112,29,FALSE),4),0) - IF(ISNUMBER(VLOOKUP("2.1.3.1.2",A2:AD112,29,FALSE)),ROUND(VLOOKUP("2.1.3.1.2",A2:AD112,29,FALSE),4),0) + IF(ISNUMBER(VLOOKUP("5.1",A2:AD112,29,FALSE)),ROUND(VLOOKUP("5.1",A2:AD112,29,FALSE),4),0) - IF(ISNUMBER(VLOOKUP("5.1.1",A2:AD112,29,FALSE)),ROUND(VLOOKUP("5.1.1",A2:AD112,29,FALSE),4),0)) / (IF(ISNUMBER(VLOOKUP("1",A2:AD112,29,FALSE)),ROUND(VLOOKUP("1",A2:AD112,29,FALSE),4),0) - IF(ISNA(VLOOKUP("15.1.1",A2:AD112,29,FALSE)),0,ROUND(VLOOKUP("15.1.1",A2:AD112,29,FALSE),4)))</f>
        <v>3.8740317796953257E-2</v>
      </c>
      <c r="AD50" s="14">
        <f>(IF(ISNUMBER(VLOOKUP("2.1.1",A2:AD112,30,FALSE)),ROUND(VLOOKUP("2.1.1",A2:AD112,30,FALSE),4),0) - IF(ISNUMBER(VLOOKUP("2.1.1.1",A2:AD112,30,FALSE)),ROUND(VLOOKUP("2.1.1.1",A2:AD112,30,FALSE),4),0) + IF(ISNUMBER(VLOOKUP("2.1.3.1",A2:AD112,30,FALSE)),ROUND(VLOOKUP("2.1.3.1",A2:AD112,30,FALSE),4),0) - IF(ISNUMBER(VLOOKUP("2.1.3.1.1",A2:AD112,30,FALSE)),ROUND(VLOOKUP("2.1.3.1.1",A2:AD112,30,FALSE),4),0) - IF(ISNUMBER(VLOOKUP("2.1.3.1.2",A2:AD112,30,FALSE)),ROUND(VLOOKUP("2.1.3.1.2",A2:AD112,30,FALSE),4),0) + IF(ISNUMBER(VLOOKUP("5.1",A2:AD112,30,FALSE)),ROUND(VLOOKUP("5.1",A2:AD112,30,FALSE),4),0) - IF(ISNUMBER(VLOOKUP("5.1.1",A2:AD112,30,FALSE)),ROUND(VLOOKUP("5.1.1",A2:AD112,30,FALSE),4),0)) / (IF(ISNUMBER(VLOOKUP("1",A2:AD112,30,FALSE)),ROUND(VLOOKUP("1",A2:AD112,30,FALSE),4),0) - IF(ISNA(VLOOKUP("15.1.1",A2:AD112,30,FALSE)),0,ROUND(VLOOKUP("15.1.1",A2:AD112,30,FALSE),4)))</f>
        <v>3.0074466246036199E-2</v>
      </c>
    </row>
    <row r="51" spans="1:30" ht="52.9" customHeight="1" x14ac:dyDescent="0.25">
      <c r="A51" s="5" t="s">
        <v>124</v>
      </c>
      <c r="B51" s="6" t="s">
        <v>125</v>
      </c>
      <c r="C51" s="7">
        <v>0</v>
      </c>
      <c r="D51" s="7">
        <v>0</v>
      </c>
      <c r="E51" s="7">
        <v>0</v>
      </c>
      <c r="F51" s="7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</row>
    <row r="52" spans="1:30" ht="65.650000000000006" customHeight="1" x14ac:dyDescent="0.25">
      <c r="A52" s="12" t="s">
        <v>126</v>
      </c>
      <c r="B52" s="13" t="s">
        <v>127</v>
      </c>
      <c r="C52" s="14">
        <f>(IF(ISNUMBER(VLOOKUP("2.1.1",A2:AD112,3,FALSE)),ROUND(VLOOKUP("2.1.1",A2:AD112,3,FALSE),4),0) - IF(ISNUMBER(VLOOKUP("2.1.1.1",A2:AD112,3,FALSE)),ROUND(VLOOKUP("2.1.1.1",A2:AD112,3,FALSE),4),0) + IF(ISNUMBER(VLOOKUP("2.1.3.1",A2:AD112,3,FALSE)),ROUND(VLOOKUP("2.1.3.1",A2:AD112,3,FALSE),4),0) - IF(ISNUMBER(VLOOKUP("2.1.3.1.1",A2:AD112,3,FALSE)),ROUND(VLOOKUP("2.1.3.1.1",A2:AD112,3,FALSE),4),0) - IF(ISNUMBER(VLOOKUP("2.1.3.1.2",A2:AD112,3,FALSE)),ROUND(VLOOKUP("2.1.3.1.2",A2:AD112,3,FALSE),4),0) + IF(ISNUMBER(VLOOKUP("5.1",A2:AD112,3,FALSE)),ROUND(VLOOKUP("5.1",A2:AD112,3,FALSE),4),0) - IF(ISNUMBER(VLOOKUP("5.1.1",A2:AD112,3,FALSE)),ROUND(VLOOKUP("5.1.1",A2:AD112,3,FALSE),4),0) + IF(ISNUMBER(VLOOKUP("9.3",A2:AD112,3,FALSE)),ROUND(VLOOKUP("9.3",A2:AD112,3,FALSE),4),0)) / (IF(ISNUMBER(VLOOKUP("1",A2:AD112,3,FALSE)),ROUND(VLOOKUP("1",A2:AD112,3,FALSE),4),0) - IF(ISNA(VLOOKUP("15.1.1",A2:AD112,3,FALSE)),0,ROUND(VLOOKUP("15.1.1",A2:AD112,3,FALSE),4)))</f>
        <v>2.0771371545797213E-2</v>
      </c>
      <c r="D52" s="14">
        <f>(IF(ISNUMBER(VLOOKUP("2.1.1",A2:AD112,4,FALSE)),ROUND(VLOOKUP("2.1.1",A2:AD112,4,FALSE),4),0) - IF(ISNUMBER(VLOOKUP("2.1.1.1",A2:AD112,4,FALSE)),ROUND(VLOOKUP("2.1.1.1",A2:AD112,4,FALSE),4),0) + IF(ISNUMBER(VLOOKUP("2.1.3.1",A2:AD112,4,FALSE)),ROUND(VLOOKUP("2.1.3.1",A2:AD112,4,FALSE),4),0) - IF(ISNUMBER(VLOOKUP("2.1.3.1.1",A2:AD112,4,FALSE)),ROUND(VLOOKUP("2.1.3.1.1",A2:AD112,4,FALSE),4),0) - IF(ISNUMBER(VLOOKUP("2.1.3.1.2",A2:AD112,4,FALSE)),ROUND(VLOOKUP("2.1.3.1.2",A2:AD112,4,FALSE),4),0) + IF(ISNUMBER(VLOOKUP("5.1",A2:AD112,4,FALSE)),ROUND(VLOOKUP("5.1",A2:AD112,4,FALSE),4),0) - IF(ISNUMBER(VLOOKUP("5.1.1",A2:AD112,4,FALSE)),ROUND(VLOOKUP("5.1.1",A2:AD112,4,FALSE),4),0) + IF(ISNUMBER(VLOOKUP("9.3",A2:AD112,4,FALSE)),ROUND(VLOOKUP("9.3",A2:AD112,4,FALSE),4),0)) / (IF(ISNUMBER(VLOOKUP("1",A2:AD112,4,FALSE)),ROUND(VLOOKUP("1",A2:AD112,4,FALSE),4),0) - IF(ISNA(VLOOKUP("15.1.1",A2:AD112,4,FALSE)),0,ROUND(VLOOKUP("15.1.1",A2:AD112,4,FALSE),4)))</f>
        <v>1.9524625612570186E-2</v>
      </c>
      <c r="E52" s="14">
        <f>(IF(ISNUMBER(VLOOKUP("2.1.1",A2:AD112,5,FALSE)),ROUND(VLOOKUP("2.1.1",A2:AD112,5,FALSE),4),0) - IF(ISNUMBER(VLOOKUP("2.1.1.1",A2:AD112,5,FALSE)),ROUND(VLOOKUP("2.1.1.1",A2:AD112,5,FALSE),4),0) + IF(ISNUMBER(VLOOKUP("2.1.3.1",A2:AD112,5,FALSE)),ROUND(VLOOKUP("2.1.3.1",A2:AD112,5,FALSE),4),0) - IF(ISNUMBER(VLOOKUP("2.1.3.1.1",A2:AD112,5,FALSE)),ROUND(VLOOKUP("2.1.3.1.1",A2:AD112,5,FALSE),4),0) - IF(ISNUMBER(VLOOKUP("2.1.3.1.2",A2:AD112,5,FALSE)),ROUND(VLOOKUP("2.1.3.1.2",A2:AD112,5,FALSE),4),0) + IF(ISNUMBER(VLOOKUP("5.1",A2:AD112,5,FALSE)),ROUND(VLOOKUP("5.1",A2:AD112,5,FALSE),4),0) - IF(ISNUMBER(VLOOKUP("5.1.1",A2:AD112,5,FALSE)),ROUND(VLOOKUP("5.1.1",A2:AD112,5,FALSE),4),0) + IF(ISNUMBER(VLOOKUP("9.3",A2:AD112,5,FALSE)),ROUND(VLOOKUP("9.3",A2:AD112,5,FALSE),4),0)) / (IF(ISNUMBER(VLOOKUP("1",A2:AD112,5,FALSE)),ROUND(VLOOKUP("1",A2:AD112,5,FALSE),4),0) - IF(ISNA(VLOOKUP("15.1.1",A2:AD112,5,FALSE)),0,ROUND(VLOOKUP("15.1.1",A2:AD112,5,FALSE),4)))</f>
        <v>3.1425353273616896E-2</v>
      </c>
      <c r="F52" s="14">
        <f>(IF(ISNUMBER(VLOOKUP("2.1.1",A2:AD112,6,FALSE)),ROUND(VLOOKUP("2.1.1",A2:AD112,6,FALSE),4),0) - IF(ISNUMBER(VLOOKUP("2.1.1.1",A2:AD112,6,FALSE)),ROUND(VLOOKUP("2.1.1.1",A2:AD112,6,FALSE),4),0) + IF(ISNUMBER(VLOOKUP("2.1.3.1",A2:AD112,6,FALSE)),ROUND(VLOOKUP("2.1.3.1",A2:AD112,6,FALSE),4),0) - IF(ISNUMBER(VLOOKUP("2.1.3.1.1",A2:AD112,6,FALSE)),ROUND(VLOOKUP("2.1.3.1.1",A2:AD112,6,FALSE),4),0) - IF(ISNUMBER(VLOOKUP("2.1.3.1.2",A2:AD112,6,FALSE)),ROUND(VLOOKUP("2.1.3.1.2",A2:AD112,6,FALSE),4),0) + IF(ISNUMBER(VLOOKUP("5.1",A2:AD112,6,FALSE)),ROUND(VLOOKUP("5.1",A2:AD112,6,FALSE),4),0) - IF(ISNUMBER(VLOOKUP("5.1.1",A2:AD112,6,FALSE)),ROUND(VLOOKUP("5.1.1",A2:AD112,6,FALSE),4),0) + IF(ISNUMBER(VLOOKUP("9.3",A2:AD112,6,FALSE)),ROUND(VLOOKUP("9.3",A2:AD112,6,FALSE),4),0)) / (IF(ISNUMBER(VLOOKUP("1",A2:AD112,6,FALSE)),ROUND(VLOOKUP("1",A2:AD112,6,FALSE),4),0) - IF(ISNA(VLOOKUP("15.1.1",A2:AD112,6,FALSE)),0,ROUND(VLOOKUP("15.1.1",A2:AD112,6,FALSE),4)))</f>
        <v>3.8929320884101684E-2</v>
      </c>
      <c r="G52" s="14">
        <f>(IF(ISNUMBER(VLOOKUP("2.1.1",A2:AD112,7,FALSE)),ROUND(VLOOKUP("2.1.1",A2:AD112,7,FALSE),4),0) - IF(ISNUMBER(VLOOKUP("2.1.1.1",A2:AD112,7,FALSE)),ROUND(VLOOKUP("2.1.1.1",A2:AD112,7,FALSE),4),0) + IF(ISNUMBER(VLOOKUP("2.1.3.1",A2:AD112,7,FALSE)),ROUND(VLOOKUP("2.1.3.1",A2:AD112,7,FALSE),4),0) - IF(ISNUMBER(VLOOKUP("2.1.3.1.1",A2:AD112,7,FALSE)),ROUND(VLOOKUP("2.1.3.1.1",A2:AD112,7,FALSE),4),0) - IF(ISNUMBER(VLOOKUP("2.1.3.1.2",A2:AD112,7,FALSE)),ROUND(VLOOKUP("2.1.3.1.2",A2:AD112,7,FALSE),4),0) + IF(ISNUMBER(VLOOKUP("5.1",A2:AD112,7,FALSE)),ROUND(VLOOKUP("5.1",A2:AD112,7,FALSE),4),0) - IF(ISNUMBER(VLOOKUP("5.1.1",A2:AD112,7,FALSE)),ROUND(VLOOKUP("5.1.1",A2:AD112,7,FALSE),4),0) + IF(ISNUMBER(VLOOKUP("9.3",A2:AD112,7,FALSE)),ROUND(VLOOKUP("9.3",A2:AD112,7,FALSE),4),0)) / (IF(ISNUMBER(VLOOKUP("1",A2:AD112,7,FALSE)),ROUND(VLOOKUP("1",A2:AD112,7,FALSE),4),0) - IF(ISNA(VLOOKUP("15.1.1",A2:AD112,7,FALSE)),0,ROUND(VLOOKUP("15.1.1",A2:AD112,7,FALSE),4)))</f>
        <v>3.5380820339643508E-2</v>
      </c>
      <c r="H52" s="14">
        <f>(IF(ISNUMBER(VLOOKUP("2.1.1",A2:AD112,8,FALSE)),ROUND(VLOOKUP("2.1.1",A2:AD112,8,FALSE),4),0) - IF(ISNUMBER(VLOOKUP("2.1.1.1",A2:AD112,8,FALSE)),ROUND(VLOOKUP("2.1.1.1",A2:AD112,8,FALSE),4),0) + IF(ISNUMBER(VLOOKUP("2.1.3.1",A2:AD112,8,FALSE)),ROUND(VLOOKUP("2.1.3.1",A2:AD112,8,FALSE),4),0) - IF(ISNUMBER(VLOOKUP("2.1.3.1.1",A2:AD112,8,FALSE)),ROUND(VLOOKUP("2.1.3.1.1",A2:AD112,8,FALSE),4),0) - IF(ISNUMBER(VLOOKUP("2.1.3.1.2",A2:AD112,8,FALSE)),ROUND(VLOOKUP("2.1.3.1.2",A2:AD112,8,FALSE),4),0) + IF(ISNUMBER(VLOOKUP("5.1",A2:AD112,8,FALSE)),ROUND(VLOOKUP("5.1",A2:AD112,8,FALSE),4),0) - IF(ISNUMBER(VLOOKUP("5.1.1",A2:AD112,8,FALSE)),ROUND(VLOOKUP("5.1.1",A2:AD112,8,FALSE),4),0) + IF(ISNUMBER(VLOOKUP("9.3",A2:AD112,8,FALSE)),ROUND(VLOOKUP("9.3",A2:AD112,8,FALSE),4),0)) / (IF(ISNUMBER(VLOOKUP("1",A2:AD112,8,FALSE)),ROUND(VLOOKUP("1",A2:AD112,8,FALSE),4),0) - IF(ISNA(VLOOKUP("15.1.1",A2:AD112,8,FALSE)),0,ROUND(VLOOKUP("15.1.1",A2:AD112,8,FALSE),4)))</f>
        <v>3.9731052551720242E-2</v>
      </c>
      <c r="I52" s="14">
        <f>(IF(ISNUMBER(VLOOKUP("2.1.1",A2:AD112,9,FALSE)),ROUND(VLOOKUP("2.1.1",A2:AD112,9,FALSE),4),0) - IF(ISNUMBER(VLOOKUP("2.1.1.1",A2:AD112,9,FALSE)),ROUND(VLOOKUP("2.1.1.1",A2:AD112,9,FALSE),4),0) + IF(ISNUMBER(VLOOKUP("2.1.3.1",A2:AD112,9,FALSE)),ROUND(VLOOKUP("2.1.3.1",A2:AD112,9,FALSE),4),0) - IF(ISNUMBER(VLOOKUP("2.1.3.1.1",A2:AD112,9,FALSE)),ROUND(VLOOKUP("2.1.3.1.1",A2:AD112,9,FALSE),4),0) - IF(ISNUMBER(VLOOKUP("2.1.3.1.2",A2:AD112,9,FALSE)),ROUND(VLOOKUP("2.1.3.1.2",A2:AD112,9,FALSE),4),0) + IF(ISNUMBER(VLOOKUP("5.1",A2:AD112,9,FALSE)),ROUND(VLOOKUP("5.1",A2:AD112,9,FALSE),4),0) - IF(ISNUMBER(VLOOKUP("5.1.1",A2:AD112,9,FALSE)),ROUND(VLOOKUP("5.1.1",A2:AD112,9,FALSE),4),0) + IF(ISNUMBER(VLOOKUP("9.3",A2:AD112,9,FALSE)),ROUND(VLOOKUP("9.3",A2:AD112,9,FALSE),4),0)) / (IF(ISNUMBER(VLOOKUP("1",A2:AD112,9,FALSE)),ROUND(VLOOKUP("1",A2:AD112,9,FALSE),4),0) - IF(ISNA(VLOOKUP("15.1.1",A2:AD112,9,FALSE)),0,ROUND(VLOOKUP("15.1.1",A2:AD112,9,FALSE),4)))</f>
        <v>4.5133069916464257E-2</v>
      </c>
      <c r="J52" s="14">
        <f>(IF(ISNUMBER(VLOOKUP("2.1.1",A2:AD112,10,FALSE)),ROUND(VLOOKUP("2.1.1",A2:AD112,10,FALSE),4),0) - IF(ISNUMBER(VLOOKUP("2.1.1.1",A2:AD112,10,FALSE)),ROUND(VLOOKUP("2.1.1.1",A2:AD112,10,FALSE),4),0) + IF(ISNUMBER(VLOOKUP("2.1.3.1",A2:AD112,10,FALSE)),ROUND(VLOOKUP("2.1.3.1",A2:AD112,10,FALSE),4),0) - IF(ISNUMBER(VLOOKUP("2.1.3.1.1",A2:AD112,10,FALSE)),ROUND(VLOOKUP("2.1.3.1.1",A2:AD112,10,FALSE),4),0) - IF(ISNUMBER(VLOOKUP("2.1.3.1.2",A2:AD112,10,FALSE)),ROUND(VLOOKUP("2.1.3.1.2",A2:AD112,10,FALSE),4),0) + IF(ISNUMBER(VLOOKUP("5.1",A2:AD112,10,FALSE)),ROUND(VLOOKUP("5.1",A2:AD112,10,FALSE),4),0) - IF(ISNUMBER(VLOOKUP("5.1.1",A2:AD112,10,FALSE)),ROUND(VLOOKUP("5.1.1",A2:AD112,10,FALSE),4),0) + IF(ISNUMBER(VLOOKUP("9.3",A2:AD112,10,FALSE)),ROUND(VLOOKUP("9.3",A2:AD112,10,FALSE),4),0)) / (IF(ISNUMBER(VLOOKUP("1",A2:AD112,10,FALSE)),ROUND(VLOOKUP("1",A2:AD112,10,FALSE),4),0) - IF(ISNA(VLOOKUP("15.1.1",A2:AD112,10,FALSE)),0,ROUND(VLOOKUP("15.1.1",A2:AD112,10,FALSE),4)))</f>
        <v>5.1707606938635665E-2</v>
      </c>
      <c r="K52" s="14">
        <f>(IF(ISNUMBER(VLOOKUP("2.1.1",A2:AD112,11,FALSE)),ROUND(VLOOKUP("2.1.1",A2:AD112,11,FALSE),4),0) - IF(ISNUMBER(VLOOKUP("2.1.1.1",A2:AD112,11,FALSE)),ROUND(VLOOKUP("2.1.1.1",A2:AD112,11,FALSE),4),0) + IF(ISNUMBER(VLOOKUP("2.1.3.1",A2:AD112,11,FALSE)),ROUND(VLOOKUP("2.1.3.1",A2:AD112,11,FALSE),4),0) - IF(ISNUMBER(VLOOKUP("2.1.3.1.1",A2:AD112,11,FALSE)),ROUND(VLOOKUP("2.1.3.1.1",A2:AD112,11,FALSE),4),0) - IF(ISNUMBER(VLOOKUP("2.1.3.1.2",A2:AD112,11,FALSE)),ROUND(VLOOKUP("2.1.3.1.2",A2:AD112,11,FALSE),4),0) + IF(ISNUMBER(VLOOKUP("5.1",A2:AD112,11,FALSE)),ROUND(VLOOKUP("5.1",A2:AD112,11,FALSE),4),0) - IF(ISNUMBER(VLOOKUP("5.1.1",A2:AD112,11,FALSE)),ROUND(VLOOKUP("5.1.1",A2:AD112,11,FALSE),4),0) + IF(ISNUMBER(VLOOKUP("9.3",A2:AD112,11,FALSE)),ROUND(VLOOKUP("9.3",A2:AD112,11,FALSE),4),0)) / (IF(ISNUMBER(VLOOKUP("1",A2:AD112,11,FALSE)),ROUND(VLOOKUP("1",A2:AD112,11,FALSE),4),0) - IF(ISNA(VLOOKUP("15.1.1",A2:AD112,11,FALSE)),0,ROUND(VLOOKUP("15.1.1",A2:AD112,11,FALSE),4)))</f>
        <v>0.10209308226467732</v>
      </c>
      <c r="L52" s="14">
        <f>(IF(ISNUMBER(VLOOKUP("2.1.1",A2:AD112,12,FALSE)),ROUND(VLOOKUP("2.1.1",A2:AD112,12,FALSE),4),0) - IF(ISNUMBER(VLOOKUP("2.1.1.1",A2:AD112,12,FALSE)),ROUND(VLOOKUP("2.1.1.1",A2:AD112,12,FALSE),4),0) + IF(ISNUMBER(VLOOKUP("2.1.3.1",A2:AD112,12,FALSE)),ROUND(VLOOKUP("2.1.3.1",A2:AD112,12,FALSE),4),0) - IF(ISNUMBER(VLOOKUP("2.1.3.1.1",A2:AD112,12,FALSE)),ROUND(VLOOKUP("2.1.3.1.1",A2:AD112,12,FALSE),4),0) - IF(ISNUMBER(VLOOKUP("2.1.3.1.2",A2:AD112,12,FALSE)),ROUND(VLOOKUP("2.1.3.1.2",A2:AD112,12,FALSE),4),0) + IF(ISNUMBER(VLOOKUP("5.1",A2:AD112,12,FALSE)),ROUND(VLOOKUP("5.1",A2:AD112,12,FALSE),4),0) - IF(ISNUMBER(VLOOKUP("5.1.1",A2:AD112,12,FALSE)),ROUND(VLOOKUP("5.1.1",A2:AD112,12,FALSE),4),0) + IF(ISNUMBER(VLOOKUP("9.3",A2:AD112,12,FALSE)),ROUND(VLOOKUP("9.3",A2:AD112,12,FALSE),4),0)) / (IF(ISNUMBER(VLOOKUP("1",A2:AD112,12,FALSE)),ROUND(VLOOKUP("1",A2:AD112,12,FALSE),4),0) - IF(ISNA(VLOOKUP("15.1.1",A2:AD112,12,FALSE)),0,ROUND(VLOOKUP("15.1.1",A2:AD112,12,FALSE),4)))</f>
        <v>9.068920206015274E-2</v>
      </c>
      <c r="M52" s="14">
        <f>(IF(ISNUMBER(VLOOKUP("2.1.1",A2:AD112,13,FALSE)),ROUND(VLOOKUP("2.1.1",A2:AD112,13,FALSE),4),0) - IF(ISNUMBER(VLOOKUP("2.1.1.1",A2:AD112,13,FALSE)),ROUND(VLOOKUP("2.1.1.1",A2:AD112,13,FALSE),4),0) + IF(ISNUMBER(VLOOKUP("2.1.3.1",A2:AD112,13,FALSE)),ROUND(VLOOKUP("2.1.3.1",A2:AD112,13,FALSE),4),0) - IF(ISNUMBER(VLOOKUP("2.1.3.1.1",A2:AD112,13,FALSE)),ROUND(VLOOKUP("2.1.3.1.1",A2:AD112,13,FALSE),4),0) - IF(ISNUMBER(VLOOKUP("2.1.3.1.2",A2:AD112,13,FALSE)),ROUND(VLOOKUP("2.1.3.1.2",A2:AD112,13,FALSE),4),0) + IF(ISNUMBER(VLOOKUP("5.1",A2:AD112,13,FALSE)),ROUND(VLOOKUP("5.1",A2:AD112,13,FALSE),4),0) - IF(ISNUMBER(VLOOKUP("5.1.1",A2:AD112,13,FALSE)),ROUND(VLOOKUP("5.1.1",A2:AD112,13,FALSE),4),0) + IF(ISNUMBER(VLOOKUP("9.3",A2:AD112,13,FALSE)),ROUND(VLOOKUP("9.3",A2:AD112,13,FALSE),4),0)) / (IF(ISNUMBER(VLOOKUP("1",A2:AD112,13,FALSE)),ROUND(VLOOKUP("1",A2:AD112,13,FALSE),4),0) - IF(ISNA(VLOOKUP("15.1.1",A2:AD112,13,FALSE)),0,ROUND(VLOOKUP("15.1.1",A2:AD112,13,FALSE),4)))</f>
        <v>0.10636344705953851</v>
      </c>
      <c r="N52" s="14">
        <f>(IF(ISNUMBER(VLOOKUP("2.1.1",A2:AD112,14,FALSE)),ROUND(VLOOKUP("2.1.1",A2:AD112,14,FALSE),4),0) - IF(ISNUMBER(VLOOKUP("2.1.1.1",A2:AD112,14,FALSE)),ROUND(VLOOKUP("2.1.1.1",A2:AD112,14,FALSE),4),0) + IF(ISNUMBER(VLOOKUP("2.1.3.1",A2:AD112,14,FALSE)),ROUND(VLOOKUP("2.1.3.1",A2:AD112,14,FALSE),4),0) - IF(ISNUMBER(VLOOKUP("2.1.3.1.1",A2:AD112,14,FALSE)),ROUND(VLOOKUP("2.1.3.1.1",A2:AD112,14,FALSE),4),0) - IF(ISNUMBER(VLOOKUP("2.1.3.1.2",A2:AD112,14,FALSE)),ROUND(VLOOKUP("2.1.3.1.2",A2:AD112,14,FALSE),4),0) + IF(ISNUMBER(VLOOKUP("5.1",A2:AD112,14,FALSE)),ROUND(VLOOKUP("5.1",A2:AD112,14,FALSE),4),0) - IF(ISNUMBER(VLOOKUP("5.1.1",A2:AD112,14,FALSE)),ROUND(VLOOKUP("5.1.1",A2:AD112,14,FALSE),4),0) + IF(ISNUMBER(VLOOKUP("9.3",A2:AD112,14,FALSE)),ROUND(VLOOKUP("9.3",A2:AD112,14,FALSE),4),0)) / (IF(ISNUMBER(VLOOKUP("1",A2:AD112,14,FALSE)),ROUND(VLOOKUP("1",A2:AD112,14,FALSE),4),0) - IF(ISNA(VLOOKUP("15.1.1",A2:AD112,14,FALSE)),0,ROUND(VLOOKUP("15.1.1",A2:AD112,14,FALSE),4)))</f>
        <v>0.1055046939742</v>
      </c>
      <c r="O52" s="14">
        <f>(IF(ISNUMBER(VLOOKUP("2.1.1",A2:AD112,15,FALSE)),ROUND(VLOOKUP("2.1.1",A2:AD112,15,FALSE),4),0) - IF(ISNUMBER(VLOOKUP("2.1.1.1",A2:AD112,15,FALSE)),ROUND(VLOOKUP("2.1.1.1",A2:AD112,15,FALSE),4),0) + IF(ISNUMBER(VLOOKUP("2.1.3.1",A2:AD112,15,FALSE)),ROUND(VLOOKUP("2.1.3.1",A2:AD112,15,FALSE),4),0) - IF(ISNUMBER(VLOOKUP("2.1.3.1.1",A2:AD112,15,FALSE)),ROUND(VLOOKUP("2.1.3.1.1",A2:AD112,15,FALSE),4),0) - IF(ISNUMBER(VLOOKUP("2.1.3.1.2",A2:AD112,15,FALSE)),ROUND(VLOOKUP("2.1.3.1.2",A2:AD112,15,FALSE),4),0) + IF(ISNUMBER(VLOOKUP("5.1",A2:AD112,15,FALSE)),ROUND(VLOOKUP("5.1",A2:AD112,15,FALSE),4),0) - IF(ISNUMBER(VLOOKUP("5.1.1",A2:AD112,15,FALSE)),ROUND(VLOOKUP("5.1.1",A2:AD112,15,FALSE),4),0) + IF(ISNUMBER(VLOOKUP("9.3",A2:AD112,15,FALSE)),ROUND(VLOOKUP("9.3",A2:AD112,15,FALSE),4),0)) / (IF(ISNUMBER(VLOOKUP("1",A2:AD112,15,FALSE)),ROUND(VLOOKUP("1",A2:AD112,15,FALSE),4),0) - IF(ISNA(VLOOKUP("15.1.1",A2:AD112,15,FALSE)),0,ROUND(VLOOKUP("15.1.1",A2:AD112,15,FALSE),4)))</f>
        <v>0.10230407288107272</v>
      </c>
      <c r="P52" s="14">
        <f>(IF(ISNUMBER(VLOOKUP("2.1.1",A2:AD112,16,FALSE)),ROUND(VLOOKUP("2.1.1",A2:AD112,16,FALSE),4),0) - IF(ISNUMBER(VLOOKUP("2.1.1.1",A2:AD112,16,FALSE)),ROUND(VLOOKUP("2.1.1.1",A2:AD112,16,FALSE),4),0) + IF(ISNUMBER(VLOOKUP("2.1.3.1",A2:AD112,16,FALSE)),ROUND(VLOOKUP("2.1.3.1",A2:AD112,16,FALSE),4),0) - IF(ISNUMBER(VLOOKUP("2.1.3.1.1",A2:AD112,16,FALSE)),ROUND(VLOOKUP("2.1.3.1.1",A2:AD112,16,FALSE),4),0) - IF(ISNUMBER(VLOOKUP("2.1.3.1.2",A2:AD112,16,FALSE)),ROUND(VLOOKUP("2.1.3.1.2",A2:AD112,16,FALSE),4),0) + IF(ISNUMBER(VLOOKUP("5.1",A2:AD112,16,FALSE)),ROUND(VLOOKUP("5.1",A2:AD112,16,FALSE),4),0) - IF(ISNUMBER(VLOOKUP("5.1.1",A2:AD112,16,FALSE)),ROUND(VLOOKUP("5.1.1",A2:AD112,16,FALSE),4),0) + IF(ISNUMBER(VLOOKUP("9.3",A2:AD112,16,FALSE)),ROUND(VLOOKUP("9.3",A2:AD112,16,FALSE),4),0)) / (IF(ISNUMBER(VLOOKUP("1",A2:AD112,16,FALSE)),ROUND(VLOOKUP("1",A2:AD112,16,FALSE),4),0) - IF(ISNA(VLOOKUP("15.1.1",A2:AD112,16,FALSE)),0,ROUND(VLOOKUP("15.1.1",A2:AD112,16,FALSE),4)))</f>
        <v>9.9316644949532046E-2</v>
      </c>
      <c r="Q52" s="14">
        <f>(IF(ISNUMBER(VLOOKUP("2.1.1",A2:AD112,17,FALSE)),ROUND(VLOOKUP("2.1.1",A2:AD112,17,FALSE),4),0) - IF(ISNUMBER(VLOOKUP("2.1.1.1",A2:AD112,17,FALSE)),ROUND(VLOOKUP("2.1.1.1",A2:AD112,17,FALSE),4),0) + IF(ISNUMBER(VLOOKUP("2.1.3.1",A2:AD112,17,FALSE)),ROUND(VLOOKUP("2.1.3.1",A2:AD112,17,FALSE),4),0) - IF(ISNUMBER(VLOOKUP("2.1.3.1.1",A2:AD112,17,FALSE)),ROUND(VLOOKUP("2.1.3.1.1",A2:AD112,17,FALSE),4),0) - IF(ISNUMBER(VLOOKUP("2.1.3.1.2",A2:AD112,17,FALSE)),ROUND(VLOOKUP("2.1.3.1.2",A2:AD112,17,FALSE),4),0) + IF(ISNUMBER(VLOOKUP("5.1",A2:AD112,17,FALSE)),ROUND(VLOOKUP("5.1",A2:AD112,17,FALSE),4),0) - IF(ISNUMBER(VLOOKUP("5.1.1",A2:AD112,17,FALSE)),ROUND(VLOOKUP("5.1.1",A2:AD112,17,FALSE),4),0) + IF(ISNUMBER(VLOOKUP("9.3",A2:AD112,17,FALSE)),ROUND(VLOOKUP("9.3",A2:AD112,17,FALSE),4),0)) / (IF(ISNUMBER(VLOOKUP("1",A2:AD112,17,FALSE)),ROUND(VLOOKUP("1",A2:AD112,17,FALSE),4),0) - IF(ISNA(VLOOKUP("15.1.1",A2:AD112,17,FALSE)),0,ROUND(VLOOKUP("15.1.1",A2:AD112,17,FALSE),4)))</f>
        <v>0.11902623521369157</v>
      </c>
      <c r="R52" s="14">
        <f>(IF(ISNUMBER(VLOOKUP("2.1.1",A2:AD112,18,FALSE)),ROUND(VLOOKUP("2.1.1",A2:AD112,18,FALSE),4),0) - IF(ISNUMBER(VLOOKUP("2.1.1.1",A2:AD112,18,FALSE)),ROUND(VLOOKUP("2.1.1.1",A2:AD112,18,FALSE),4),0) + IF(ISNUMBER(VLOOKUP("2.1.3.1",A2:AD112,18,FALSE)),ROUND(VLOOKUP("2.1.3.1",A2:AD112,18,FALSE),4),0) - IF(ISNUMBER(VLOOKUP("2.1.3.1.1",A2:AD112,18,FALSE)),ROUND(VLOOKUP("2.1.3.1.1",A2:AD112,18,FALSE),4),0) - IF(ISNUMBER(VLOOKUP("2.1.3.1.2",A2:AD112,18,FALSE)),ROUND(VLOOKUP("2.1.3.1.2",A2:AD112,18,FALSE),4),0) + IF(ISNUMBER(VLOOKUP("5.1",A2:AD112,18,FALSE)),ROUND(VLOOKUP("5.1",A2:AD112,18,FALSE),4),0) - IF(ISNUMBER(VLOOKUP("5.1.1",A2:AD112,18,FALSE)),ROUND(VLOOKUP("5.1.1",A2:AD112,18,FALSE),4),0) + IF(ISNUMBER(VLOOKUP("9.3",A2:AD112,18,FALSE)),ROUND(VLOOKUP("9.3",A2:AD112,18,FALSE),4),0)) / (IF(ISNUMBER(VLOOKUP("1",A2:AD112,18,FALSE)),ROUND(VLOOKUP("1",A2:AD112,18,FALSE),4),0) - IF(ISNA(VLOOKUP("15.1.1",A2:AD112,18,FALSE)),0,ROUND(VLOOKUP("15.1.1",A2:AD112,18,FALSE),4)))</f>
        <v>0.10031444101414616</v>
      </c>
      <c r="S52" s="14">
        <f>(IF(ISNUMBER(VLOOKUP("2.1.1",A2:AD112,19,FALSE)),ROUND(VLOOKUP("2.1.1",A2:AD112,19,FALSE),4),0) - IF(ISNUMBER(VLOOKUP("2.1.1.1",A2:AD112,19,FALSE)),ROUND(VLOOKUP("2.1.1.1",A2:AD112,19,FALSE),4),0) + IF(ISNUMBER(VLOOKUP("2.1.3.1",A2:AD112,19,FALSE)),ROUND(VLOOKUP("2.1.3.1",A2:AD112,19,FALSE),4),0) - IF(ISNUMBER(VLOOKUP("2.1.3.1.1",A2:AD112,19,FALSE)),ROUND(VLOOKUP("2.1.3.1.1",A2:AD112,19,FALSE),4),0) - IF(ISNUMBER(VLOOKUP("2.1.3.1.2",A2:AD112,19,FALSE)),ROUND(VLOOKUP("2.1.3.1.2",A2:AD112,19,FALSE),4),0) + IF(ISNUMBER(VLOOKUP("5.1",A2:AD112,19,FALSE)),ROUND(VLOOKUP("5.1",A2:AD112,19,FALSE),4),0) - IF(ISNUMBER(VLOOKUP("5.1.1",A2:AD112,19,FALSE)),ROUND(VLOOKUP("5.1.1",A2:AD112,19,FALSE),4),0) + IF(ISNUMBER(VLOOKUP("9.3",A2:AD112,19,FALSE)),ROUND(VLOOKUP("9.3",A2:AD112,19,FALSE),4),0)) / (IF(ISNUMBER(VLOOKUP("1",A2:AD112,19,FALSE)),ROUND(VLOOKUP("1",A2:AD112,19,FALSE),4),0) - IF(ISNA(VLOOKUP("15.1.1",A2:AD112,19,FALSE)),0,ROUND(VLOOKUP("15.1.1",A2:AD112,19,FALSE),4)))</f>
        <v>9.2468226789561681E-2</v>
      </c>
      <c r="T52" s="14">
        <f>(IF(ISNUMBER(VLOOKUP("2.1.1",A2:AD112,20,FALSE)),ROUND(VLOOKUP("2.1.1",A2:AD112,20,FALSE),4),0) - IF(ISNUMBER(VLOOKUP("2.1.1.1",A2:AD112,20,FALSE)),ROUND(VLOOKUP("2.1.1.1",A2:AD112,20,FALSE),4),0) + IF(ISNUMBER(VLOOKUP("2.1.3.1",A2:AD112,20,FALSE)),ROUND(VLOOKUP("2.1.3.1",A2:AD112,20,FALSE),4),0) - IF(ISNUMBER(VLOOKUP("2.1.3.1.1",A2:AD112,20,FALSE)),ROUND(VLOOKUP("2.1.3.1.1",A2:AD112,20,FALSE),4),0) - IF(ISNUMBER(VLOOKUP("2.1.3.1.2",A2:AD112,20,FALSE)),ROUND(VLOOKUP("2.1.3.1.2",A2:AD112,20,FALSE),4),0) + IF(ISNUMBER(VLOOKUP("5.1",A2:AD112,20,FALSE)),ROUND(VLOOKUP("5.1",A2:AD112,20,FALSE),4),0) - IF(ISNUMBER(VLOOKUP("5.1.1",A2:AD112,20,FALSE)),ROUND(VLOOKUP("5.1.1",A2:AD112,20,FALSE),4),0) + IF(ISNUMBER(VLOOKUP("9.3",A2:AD112,20,FALSE)),ROUND(VLOOKUP("9.3",A2:AD112,20,FALSE),4),0)) / (IF(ISNUMBER(VLOOKUP("1",A2:AD112,20,FALSE)),ROUND(VLOOKUP("1",A2:AD112,20,FALSE),4),0) - IF(ISNA(VLOOKUP("15.1.1",A2:AD112,20,FALSE)),0,ROUND(VLOOKUP("15.1.1",A2:AD112,20,FALSE),4)))</f>
        <v>8.1145389573965096E-2</v>
      </c>
      <c r="U52" s="14">
        <f>(IF(ISNUMBER(VLOOKUP("2.1.1",A2:AD112,21,FALSE)),ROUND(VLOOKUP("2.1.1",A2:AD112,21,FALSE),4),0) - IF(ISNUMBER(VLOOKUP("2.1.1.1",A2:AD112,21,FALSE)),ROUND(VLOOKUP("2.1.1.1",A2:AD112,21,FALSE),4),0) + IF(ISNUMBER(VLOOKUP("2.1.3.1",A2:AD112,21,FALSE)),ROUND(VLOOKUP("2.1.3.1",A2:AD112,21,FALSE),4),0) - IF(ISNUMBER(VLOOKUP("2.1.3.1.1",A2:AD112,21,FALSE)),ROUND(VLOOKUP("2.1.3.1.1",A2:AD112,21,FALSE),4),0) - IF(ISNUMBER(VLOOKUP("2.1.3.1.2",A2:AD112,21,FALSE)),ROUND(VLOOKUP("2.1.3.1.2",A2:AD112,21,FALSE),4),0) + IF(ISNUMBER(VLOOKUP("5.1",A2:AD112,21,FALSE)),ROUND(VLOOKUP("5.1",A2:AD112,21,FALSE),4),0) - IF(ISNUMBER(VLOOKUP("5.1.1",A2:AD112,21,FALSE)),ROUND(VLOOKUP("5.1.1",A2:AD112,21,FALSE),4),0) + IF(ISNUMBER(VLOOKUP("9.3",A2:AD112,21,FALSE)),ROUND(VLOOKUP("9.3",A2:AD112,21,FALSE),4),0)) / (IF(ISNUMBER(VLOOKUP("1",A2:AD112,21,FALSE)),ROUND(VLOOKUP("1",A2:AD112,21,FALSE),4),0) - IF(ISNA(VLOOKUP("15.1.1",A2:AD112,21,FALSE)),0,ROUND(VLOOKUP("15.1.1",A2:AD112,21,FALSE),4)))</f>
        <v>7.8691983692930179E-2</v>
      </c>
      <c r="V52" s="14">
        <f>(IF(ISNUMBER(VLOOKUP("2.1.1",A2:AD112,22,FALSE)),ROUND(VLOOKUP("2.1.1",A2:AD112,22,FALSE),4),0) - IF(ISNUMBER(VLOOKUP("2.1.1.1",A2:AD112,22,FALSE)),ROUND(VLOOKUP("2.1.1.1",A2:AD112,22,FALSE),4),0) + IF(ISNUMBER(VLOOKUP("2.1.3.1",A2:AD112,22,FALSE)),ROUND(VLOOKUP("2.1.3.1",A2:AD112,22,FALSE),4),0) - IF(ISNUMBER(VLOOKUP("2.1.3.1.1",A2:AD112,22,FALSE)),ROUND(VLOOKUP("2.1.3.1.1",A2:AD112,22,FALSE),4),0) - IF(ISNUMBER(VLOOKUP("2.1.3.1.2",A2:AD112,22,FALSE)),ROUND(VLOOKUP("2.1.3.1.2",A2:AD112,22,FALSE),4),0) + IF(ISNUMBER(VLOOKUP("5.1",A2:AD112,22,FALSE)),ROUND(VLOOKUP("5.1",A2:AD112,22,FALSE),4),0) - IF(ISNUMBER(VLOOKUP("5.1.1",A2:AD112,22,FALSE)),ROUND(VLOOKUP("5.1.1",A2:AD112,22,FALSE),4),0) + IF(ISNUMBER(VLOOKUP("9.3",A2:AD112,22,FALSE)),ROUND(VLOOKUP("9.3",A2:AD112,22,FALSE),4),0)) / (IF(ISNUMBER(VLOOKUP("1",A2:AD112,22,FALSE)),ROUND(VLOOKUP("1",A2:AD112,22,FALSE),4),0) - IF(ISNA(VLOOKUP("15.1.1",A2:AD112,22,FALSE)),0,ROUND(VLOOKUP("15.1.1",A2:AD112,22,FALSE),4)))</f>
        <v>6.5641879981934659E-2</v>
      </c>
      <c r="W52" s="14">
        <f>(IF(ISNUMBER(VLOOKUP("2.1.1",A2:AD112,23,FALSE)),ROUND(VLOOKUP("2.1.1",A2:AD112,23,FALSE),4),0) - IF(ISNUMBER(VLOOKUP("2.1.1.1",A2:AD112,23,FALSE)),ROUND(VLOOKUP("2.1.1.1",A2:AD112,23,FALSE),4),0) + IF(ISNUMBER(VLOOKUP("2.1.3.1",A2:AD112,23,FALSE)),ROUND(VLOOKUP("2.1.3.1",A2:AD112,23,FALSE),4),0) - IF(ISNUMBER(VLOOKUP("2.1.3.1.1",A2:AD112,23,FALSE)),ROUND(VLOOKUP("2.1.3.1.1",A2:AD112,23,FALSE),4),0) - IF(ISNUMBER(VLOOKUP("2.1.3.1.2",A2:AD112,23,FALSE)),ROUND(VLOOKUP("2.1.3.1.2",A2:AD112,23,FALSE),4),0) + IF(ISNUMBER(VLOOKUP("5.1",A2:AD112,23,FALSE)),ROUND(VLOOKUP("5.1",A2:AD112,23,FALSE),4),0) - IF(ISNUMBER(VLOOKUP("5.1.1",A2:AD112,23,FALSE)),ROUND(VLOOKUP("5.1.1",A2:AD112,23,FALSE),4),0) + IF(ISNUMBER(VLOOKUP("9.3",A2:AD112,23,FALSE)),ROUND(VLOOKUP("9.3",A2:AD112,23,FALSE),4),0)) / (IF(ISNUMBER(VLOOKUP("1",A2:AD112,23,FALSE)),ROUND(VLOOKUP("1",A2:AD112,23,FALSE),4),0) - IF(ISNA(VLOOKUP("15.1.1",A2:AD112,23,FALSE)),0,ROUND(VLOOKUP("15.1.1",A2:AD112,23,FALSE),4)))</f>
        <v>5.6632463298453305E-2</v>
      </c>
      <c r="X52" s="14">
        <f>(IF(ISNUMBER(VLOOKUP("2.1.1",A2:AD112,24,FALSE)),ROUND(VLOOKUP("2.1.1",A2:AD112,24,FALSE),4),0) - IF(ISNUMBER(VLOOKUP("2.1.1.1",A2:AD112,24,FALSE)),ROUND(VLOOKUP("2.1.1.1",A2:AD112,24,FALSE),4),0) + IF(ISNUMBER(VLOOKUP("2.1.3.1",A2:AD112,24,FALSE)),ROUND(VLOOKUP("2.1.3.1",A2:AD112,24,FALSE),4),0) - IF(ISNUMBER(VLOOKUP("2.1.3.1.1",A2:AD112,24,FALSE)),ROUND(VLOOKUP("2.1.3.1.1",A2:AD112,24,FALSE),4),0) - IF(ISNUMBER(VLOOKUP("2.1.3.1.2",A2:AD112,24,FALSE)),ROUND(VLOOKUP("2.1.3.1.2",A2:AD112,24,FALSE),4),0) + IF(ISNUMBER(VLOOKUP("5.1",A2:AD112,24,FALSE)),ROUND(VLOOKUP("5.1",A2:AD112,24,FALSE),4),0) - IF(ISNUMBER(VLOOKUP("5.1.1",A2:AD112,24,FALSE)),ROUND(VLOOKUP("5.1.1",A2:AD112,24,FALSE),4),0) + IF(ISNUMBER(VLOOKUP("9.3",A2:AD112,24,FALSE)),ROUND(VLOOKUP("9.3",A2:AD112,24,FALSE),4),0)) / (IF(ISNUMBER(VLOOKUP("1",A2:AD112,24,FALSE)),ROUND(VLOOKUP("1",A2:AD112,24,FALSE),4),0) - IF(ISNA(VLOOKUP("15.1.1",A2:AD112,24,FALSE)),0,ROUND(VLOOKUP("15.1.1",A2:AD112,24,FALSE),4)))</f>
        <v>4.0428208385991218E-2</v>
      </c>
      <c r="Y52" s="14">
        <f>(IF(ISNUMBER(VLOOKUP("2.1.1",A2:AD112,25,FALSE)),ROUND(VLOOKUP("2.1.1",A2:AD112,25,FALSE),4),0) - IF(ISNUMBER(VLOOKUP("2.1.1.1",A2:AD112,25,FALSE)),ROUND(VLOOKUP("2.1.1.1",A2:AD112,25,FALSE),4),0) + IF(ISNUMBER(VLOOKUP("2.1.3.1",A2:AD112,25,FALSE)),ROUND(VLOOKUP("2.1.3.1",A2:AD112,25,FALSE),4),0) - IF(ISNUMBER(VLOOKUP("2.1.3.1.1",A2:AD112,25,FALSE)),ROUND(VLOOKUP("2.1.3.1.1",A2:AD112,25,FALSE),4),0) - IF(ISNUMBER(VLOOKUP("2.1.3.1.2",A2:AD112,25,FALSE)),ROUND(VLOOKUP("2.1.3.1.2",A2:AD112,25,FALSE),4),0) + IF(ISNUMBER(VLOOKUP("5.1",A2:AD112,25,FALSE)),ROUND(VLOOKUP("5.1",A2:AD112,25,FALSE),4),0) - IF(ISNUMBER(VLOOKUP("5.1.1",A2:AD112,25,FALSE)),ROUND(VLOOKUP("5.1.1",A2:AD112,25,FALSE),4),0) + IF(ISNUMBER(VLOOKUP("9.3",A2:AD112,25,FALSE)),ROUND(VLOOKUP("9.3",A2:AD112,25,FALSE),4),0)) / (IF(ISNUMBER(VLOOKUP("1",A2:AD112,25,FALSE)),ROUND(VLOOKUP("1",A2:AD112,25,FALSE),4),0) - IF(ISNA(VLOOKUP("15.1.1",A2:AD112,25,FALSE)),0,ROUND(VLOOKUP("15.1.1",A2:AD112,25,FALSE),4)))</f>
        <v>3.8868522783938597E-2</v>
      </c>
      <c r="Z52" s="14">
        <f>(IF(ISNUMBER(VLOOKUP("2.1.1",A2:AD112,26,FALSE)),ROUND(VLOOKUP("2.1.1",A2:AD112,26,FALSE),4),0) - IF(ISNUMBER(VLOOKUP("2.1.1.1",A2:AD112,26,FALSE)),ROUND(VLOOKUP("2.1.1.1",A2:AD112,26,FALSE),4),0) + IF(ISNUMBER(VLOOKUP("2.1.3.1",A2:AD112,26,FALSE)),ROUND(VLOOKUP("2.1.3.1",A2:AD112,26,FALSE),4),0) - IF(ISNUMBER(VLOOKUP("2.1.3.1.1",A2:AD112,26,FALSE)),ROUND(VLOOKUP("2.1.3.1.1",A2:AD112,26,FALSE),4),0) - IF(ISNUMBER(VLOOKUP("2.1.3.1.2",A2:AD112,26,FALSE)),ROUND(VLOOKUP("2.1.3.1.2",A2:AD112,26,FALSE),4),0) + IF(ISNUMBER(VLOOKUP("5.1",A2:AD112,26,FALSE)),ROUND(VLOOKUP("5.1",A2:AD112,26,FALSE),4),0) - IF(ISNUMBER(VLOOKUP("5.1.1",A2:AD112,26,FALSE)),ROUND(VLOOKUP("5.1.1",A2:AD112,26,FALSE),4),0) + IF(ISNUMBER(VLOOKUP("9.3",A2:AD112,26,FALSE)),ROUND(VLOOKUP("9.3",A2:AD112,26,FALSE),4),0)) / (IF(ISNUMBER(VLOOKUP("1",A2:AD112,26,FALSE)),ROUND(VLOOKUP("1",A2:AD112,26,FALSE),4),0) - IF(ISNA(VLOOKUP("15.1.1",A2:AD112,26,FALSE)),0,ROUND(VLOOKUP("15.1.1",A2:AD112,26,FALSE),4)))</f>
        <v>3.7358077254817171E-2</v>
      </c>
      <c r="AA52" s="14">
        <f>(IF(ISNUMBER(VLOOKUP("2.1.1",A2:AD112,27,FALSE)),ROUND(VLOOKUP("2.1.1",A2:AD112,27,FALSE),4),0) - IF(ISNUMBER(VLOOKUP("2.1.1.1",A2:AD112,27,FALSE)),ROUND(VLOOKUP("2.1.1.1",A2:AD112,27,FALSE),4),0) + IF(ISNUMBER(VLOOKUP("2.1.3.1",A2:AD112,27,FALSE)),ROUND(VLOOKUP("2.1.3.1",A2:AD112,27,FALSE),4),0) - IF(ISNUMBER(VLOOKUP("2.1.3.1.1",A2:AD112,27,FALSE)),ROUND(VLOOKUP("2.1.3.1.1",A2:AD112,27,FALSE),4),0) - IF(ISNUMBER(VLOOKUP("2.1.3.1.2",A2:AD112,27,FALSE)),ROUND(VLOOKUP("2.1.3.1.2",A2:AD112,27,FALSE),4),0) + IF(ISNUMBER(VLOOKUP("5.1",A2:AD112,27,FALSE)),ROUND(VLOOKUP("5.1",A2:AD112,27,FALSE),4),0) - IF(ISNUMBER(VLOOKUP("5.1.1",A2:AD112,27,FALSE)),ROUND(VLOOKUP("5.1.1",A2:AD112,27,FALSE),4),0) + IF(ISNUMBER(VLOOKUP("9.3",A2:AD112,27,FALSE)),ROUND(VLOOKUP("9.3",A2:AD112,27,FALSE),4),0)) / (IF(ISNUMBER(VLOOKUP("1",A2:AD112,27,FALSE)),ROUND(VLOOKUP("1",A2:AD112,27,FALSE),4),0) - IF(ISNA(VLOOKUP("15.1.1",A2:AD112,27,FALSE)),0,ROUND(VLOOKUP("15.1.1",A2:AD112,27,FALSE),4)))</f>
        <v>3.8891203039040839E-2</v>
      </c>
      <c r="AB52" s="14">
        <f>(IF(ISNUMBER(VLOOKUP("2.1.1",A2:AD112,28,FALSE)),ROUND(VLOOKUP("2.1.1",A2:AD112,28,FALSE),4),0) - IF(ISNUMBER(VLOOKUP("2.1.1.1",A2:AD112,28,FALSE)),ROUND(VLOOKUP("2.1.1.1",A2:AD112,28,FALSE),4),0) + IF(ISNUMBER(VLOOKUP("2.1.3.1",A2:AD112,28,FALSE)),ROUND(VLOOKUP("2.1.3.1",A2:AD112,28,FALSE),4),0) - IF(ISNUMBER(VLOOKUP("2.1.3.1.1",A2:AD112,28,FALSE)),ROUND(VLOOKUP("2.1.3.1.1",A2:AD112,28,FALSE),4),0) - IF(ISNUMBER(VLOOKUP("2.1.3.1.2",A2:AD112,28,FALSE)),ROUND(VLOOKUP("2.1.3.1.2",A2:AD112,28,FALSE),4),0) + IF(ISNUMBER(VLOOKUP("5.1",A2:AD112,28,FALSE)),ROUND(VLOOKUP("5.1",A2:AD112,28,FALSE),4),0) - IF(ISNUMBER(VLOOKUP("5.1.1",A2:AD112,28,FALSE)),ROUND(VLOOKUP("5.1.1",A2:AD112,28,FALSE),4),0) + IF(ISNUMBER(VLOOKUP("9.3",A2:AD112,28,FALSE)),ROUND(VLOOKUP("9.3",A2:AD112,28,FALSE),4),0)) / (IF(ISNUMBER(VLOOKUP("1",A2:AD112,28,FALSE)),ROUND(VLOOKUP("1",A2:AD112,28,FALSE),4),0) - IF(ISNA(VLOOKUP("15.1.1",A2:AD112,28,FALSE)),0,ROUND(VLOOKUP("15.1.1",A2:AD112,28,FALSE),4)))</f>
        <v>3.8108267277296354E-2</v>
      </c>
      <c r="AC52" s="14">
        <f>(IF(ISNUMBER(VLOOKUP("2.1.1",A2:AD112,29,FALSE)),ROUND(VLOOKUP("2.1.1",A2:AD112,29,FALSE),4),0) - IF(ISNUMBER(VLOOKUP("2.1.1.1",A2:AD112,29,FALSE)),ROUND(VLOOKUP("2.1.1.1",A2:AD112,29,FALSE),4),0) + IF(ISNUMBER(VLOOKUP("2.1.3.1",A2:AD112,29,FALSE)),ROUND(VLOOKUP("2.1.3.1",A2:AD112,29,FALSE),4),0) - IF(ISNUMBER(VLOOKUP("2.1.3.1.1",A2:AD112,29,FALSE)),ROUND(VLOOKUP("2.1.3.1.1",A2:AD112,29,FALSE),4),0) - IF(ISNUMBER(VLOOKUP("2.1.3.1.2",A2:AD112,29,FALSE)),ROUND(VLOOKUP("2.1.3.1.2",A2:AD112,29,FALSE),4),0) + IF(ISNUMBER(VLOOKUP("5.1",A2:AD112,29,FALSE)),ROUND(VLOOKUP("5.1",A2:AD112,29,FALSE),4),0) - IF(ISNUMBER(VLOOKUP("5.1.1",A2:AD112,29,FALSE)),ROUND(VLOOKUP("5.1.1",A2:AD112,29,FALSE),4),0) + IF(ISNUMBER(VLOOKUP("9.3",A2:AD112,29,FALSE)),ROUND(VLOOKUP("9.3",A2:AD112,29,FALSE),4),0)) / (IF(ISNUMBER(VLOOKUP("1",A2:AD112,29,FALSE)),ROUND(VLOOKUP("1",A2:AD112,29,FALSE),4),0) - IF(ISNA(VLOOKUP("15.1.1",A2:AD112,29,FALSE)),0,ROUND(VLOOKUP("15.1.1",A2:AD112,29,FALSE),4)))</f>
        <v>3.8740317796953257E-2</v>
      </c>
      <c r="AD52" s="14">
        <f>(IF(ISNUMBER(VLOOKUP("2.1.1",A2:AD112,30,FALSE)),ROUND(VLOOKUP("2.1.1",A2:AD112,30,FALSE),4),0) - IF(ISNUMBER(VLOOKUP("2.1.1.1",A2:AD112,30,FALSE)),ROUND(VLOOKUP("2.1.1.1",A2:AD112,30,FALSE),4),0) + IF(ISNUMBER(VLOOKUP("2.1.3.1",A2:AD112,30,FALSE)),ROUND(VLOOKUP("2.1.3.1",A2:AD112,30,FALSE),4),0) - IF(ISNUMBER(VLOOKUP("2.1.3.1.1",A2:AD112,30,FALSE)),ROUND(VLOOKUP("2.1.3.1.1",A2:AD112,30,FALSE),4),0) - IF(ISNUMBER(VLOOKUP("2.1.3.1.2",A2:AD112,30,FALSE)),ROUND(VLOOKUP("2.1.3.1.2",A2:AD112,30,FALSE),4),0) + IF(ISNUMBER(VLOOKUP("5.1",A2:AD112,30,FALSE)),ROUND(VLOOKUP("5.1",A2:AD112,30,FALSE),4),0) - IF(ISNUMBER(VLOOKUP("5.1.1",A2:AD112,30,FALSE)),ROUND(VLOOKUP("5.1.1",A2:AD112,30,FALSE),4),0) + IF(ISNUMBER(VLOOKUP("9.3",A2:AD112,30,FALSE)),ROUND(VLOOKUP("9.3",A2:AD112,30,FALSE),4),0)) / (IF(ISNUMBER(VLOOKUP("1",A2:AD112,30,FALSE)),ROUND(VLOOKUP("1",A2:AD112,30,FALSE),4),0) - IF(ISNA(VLOOKUP("15.1.1",A2:AD112,30,FALSE)),0,ROUND(VLOOKUP("15.1.1",A2:AD112,30,FALSE),4)))</f>
        <v>3.0074466246036199E-2</v>
      </c>
    </row>
    <row r="53" spans="1:30" ht="52.9" customHeight="1" x14ac:dyDescent="0.25">
      <c r="A53" s="12" t="s">
        <v>128</v>
      </c>
      <c r="B53" s="13" t="s">
        <v>129</v>
      </c>
      <c r="C53" s="14">
        <f>((IF(ISNUMBER(VLOOKUP("1.1",A2:AD112,3,FALSE)),ROUND(VLOOKUP("1.1",A2:AD112,3,FALSE),4),0) - IF(ISNA(VLOOKUP("15.1.1",A2:AD112,3,FALSE)),0,ROUND(VLOOKUP("15.1.1",A2:AD112,3,FALSE),4))) - (IF(ISNUMBER(VLOOKUP("2.1",A2:AD112,3,FALSE)),ROUND(VLOOKUP("2.1",A2:AD112,3,FALSE),4),0) - IF(ISNUMBER(VLOOKUP("2.1.2",A2:AD112,3,FALSE)),ROUND(VLOOKUP("2.1.2",A2:AD112,3,FALSE),4),0) - IF(ISNA(VLOOKUP("15.2",A2:AD112,3,FALSE)),0,ROUND(VLOOKUP("15.2",A2:AD112,3,FALSE),4))) + IF(ISNUMBER(VLOOKUP("1.2.1",A2:AD112,3,FALSE)),ROUND(VLOOKUP("1.2.1",A2:AD112,3,FALSE),4),0)) / (IF(ISNUMBER(VLOOKUP("1",A2:AD112,3,FALSE)),ROUND(VLOOKUP("1",A2:AD112,3,FALSE),4),0) - IF(ISNA(VLOOKUP("15.1.1",A2:AD112,3,FALSE)),0,ROUND(VLOOKUP("15.1.1",A2:AD112,3,FALSE),4)))</f>
        <v>0.10168510978928021</v>
      </c>
      <c r="D53" s="14">
        <f>((IF(ISNUMBER(VLOOKUP("1.1",A2:AD112,4,FALSE)),ROUND(VLOOKUP("1.1",A2:AD112,4,FALSE),4),0) - IF(ISNA(VLOOKUP("15.1.1",A2:AD112,4,FALSE)),0,ROUND(VLOOKUP("15.1.1",A2:AD112,4,FALSE),4))) - (IF(ISNUMBER(VLOOKUP("2.1",A2:AD112,4,FALSE)),ROUND(VLOOKUP("2.1",A2:AD112,4,FALSE),4),0) - IF(ISNUMBER(VLOOKUP("2.1.2",A2:AD112,4,FALSE)),ROUND(VLOOKUP("2.1.2",A2:AD112,4,FALSE),4),0) - IF(ISNA(VLOOKUP("15.2",A2:AD112,4,FALSE)),0,ROUND(VLOOKUP("15.2",A2:AD112,4,FALSE),4))) + IF(ISNUMBER(VLOOKUP("1.2.1",A2:AD112,4,FALSE)),ROUND(VLOOKUP("1.2.1",A2:AD112,4,FALSE),4),0)) / (IF(ISNUMBER(VLOOKUP("1",A2:AD112,4,FALSE)),ROUND(VLOOKUP("1",A2:AD112,4,FALSE),4),0) - IF(ISNA(VLOOKUP("15.1.1",A2:AD112,4,FALSE)),0,ROUND(VLOOKUP("15.1.1",A2:AD112,4,FALSE),4)))</f>
        <v>8.2200564690436156E-2</v>
      </c>
      <c r="E53" s="14">
        <f>((IF(ISNUMBER(VLOOKUP("1.1",A2:AD112,5,FALSE)),ROUND(VLOOKUP("1.1",A2:AD112,5,FALSE),4),0) - IF(ISNA(VLOOKUP("15.1.1",A2:AD112,5,FALSE)),0,ROUND(VLOOKUP("15.1.1",A2:AD112,5,FALSE),4))) - (IF(ISNUMBER(VLOOKUP("2.1",A2:AD112,5,FALSE)),ROUND(VLOOKUP("2.1",A2:AD112,5,FALSE),4),0) - IF(ISNUMBER(VLOOKUP("2.1.2",A2:AD112,5,FALSE)),ROUND(VLOOKUP("2.1.2",A2:AD112,5,FALSE),4),0) - IF(ISNA(VLOOKUP("15.2",A2:AD112,5,FALSE)),0,ROUND(VLOOKUP("15.2",A2:AD112,5,FALSE),4))) + IF(ISNUMBER(VLOOKUP("1.2.1",A2:AD112,5,FALSE)),ROUND(VLOOKUP("1.2.1",A2:AD112,5,FALSE),4),0)) / (IF(ISNUMBER(VLOOKUP("1",A2:AD112,5,FALSE)),ROUND(VLOOKUP("1",A2:AD112,5,FALSE),4),0) - IF(ISNA(VLOOKUP("15.1.1",A2:AD112,5,FALSE)),0,ROUND(VLOOKUP("15.1.1",A2:AD112,5,FALSE),4)))</f>
        <v>9.303254447126412E-2</v>
      </c>
      <c r="F53" s="14">
        <f>((IF(ISNUMBER(VLOOKUP("1.1",A2:AD112,6,FALSE)),ROUND(VLOOKUP("1.1",A2:AD112,6,FALSE),4),0) - IF(ISNA(VLOOKUP("15.1.1",A2:AD112,6,FALSE)),0,ROUND(VLOOKUP("15.1.1",A2:AD112,6,FALSE),4))) - (IF(ISNUMBER(VLOOKUP("2.1",A2:AD112,6,FALSE)),ROUND(VLOOKUP("2.1",A2:AD112,6,FALSE),4),0) - IF(ISNUMBER(VLOOKUP("2.1.2",A2:AD112,6,FALSE)),ROUND(VLOOKUP("2.1.2",A2:AD112,6,FALSE),4),0) - IF(ISNA(VLOOKUP("15.2",A2:AD112,6,FALSE)),0,ROUND(VLOOKUP("15.2",A2:AD112,6,FALSE),4))) + IF(ISNUMBER(VLOOKUP("1.2.1",A2:AD112,6,FALSE)),ROUND(VLOOKUP("1.2.1",A2:AD112,6,FALSE),4),0)) / (IF(ISNUMBER(VLOOKUP("1",A2:AD112,6,FALSE)),ROUND(VLOOKUP("1",A2:AD112,6,FALSE),4),0) - IF(ISNA(VLOOKUP("15.1.1",A2:AD112,6,FALSE)),0,ROUND(VLOOKUP("15.1.1",A2:AD112,6,FALSE),4)))</f>
        <v>9.3138042856932918E-2</v>
      </c>
      <c r="G53" s="14">
        <f>((IF(ISNUMBER(VLOOKUP("1.1",A2:AD112,7,FALSE)),ROUND(VLOOKUP("1.1",A2:AD112,7,FALSE),4),0) - IF(ISNA(VLOOKUP("15.1.1",A2:AD112,7,FALSE)),0,ROUND(VLOOKUP("15.1.1",A2:AD112,7,FALSE),4))) - (IF(ISNUMBER(VLOOKUP("2.1",A2:AD112,7,FALSE)),ROUND(VLOOKUP("2.1",A2:AD112,7,FALSE),4),0) - IF(ISNUMBER(VLOOKUP("2.1.2",A2:AD112,7,FALSE)),ROUND(VLOOKUP("2.1.2",A2:AD112,7,FALSE),4),0) - IF(ISNA(VLOOKUP("15.2",A2:AD112,7,FALSE)),0,ROUND(VLOOKUP("15.2",A2:AD112,7,FALSE),4))) + IF(ISNUMBER(VLOOKUP("1.2.1",A2:AD112,7,FALSE)),ROUND(VLOOKUP("1.2.1",A2:AD112,7,FALSE),4),0)) / (IF(ISNUMBER(VLOOKUP("1",A2:AD112,7,FALSE)),ROUND(VLOOKUP("1",A2:AD112,7,FALSE),4),0) - IF(ISNA(VLOOKUP("15.1.1",A2:AD112,7,FALSE)),0,ROUND(VLOOKUP("15.1.1",A2:AD112,7,FALSE),4)))</f>
        <v>8.0213918876298404E-2</v>
      </c>
      <c r="H53" s="14">
        <f>((IF(ISNUMBER(VLOOKUP("1.1",A2:AD112,8,FALSE)),ROUND(VLOOKUP("1.1",A2:AD112,8,FALSE),4),0) - IF(ISNA(VLOOKUP("15.1.1",A2:AD112,8,FALSE)),0,ROUND(VLOOKUP("15.1.1",A2:AD112,8,FALSE),4))) - (IF(ISNUMBER(VLOOKUP("2.1",A2:AD112,8,FALSE)),ROUND(VLOOKUP("2.1",A2:AD112,8,FALSE),4),0) - IF(ISNUMBER(VLOOKUP("2.1.2",A2:AD112,8,FALSE)),ROUND(VLOOKUP("2.1.2",A2:AD112,8,FALSE),4),0) - IF(ISNA(VLOOKUP("15.2",A2:AD112,8,FALSE)),0,ROUND(VLOOKUP("15.2",A2:AD112,8,FALSE),4))) + IF(ISNUMBER(VLOOKUP("1.2.1",A2:AD112,8,FALSE)),ROUND(VLOOKUP("1.2.1",A2:AD112,8,FALSE),4),0)) / (IF(ISNUMBER(VLOOKUP("1",A2:AD112,8,FALSE)),ROUND(VLOOKUP("1",A2:AD112,8,FALSE),4),0) - IF(ISNA(VLOOKUP("15.1.1",A2:AD112,8,FALSE)),0,ROUND(VLOOKUP("15.1.1",A2:AD112,8,FALSE),4)))</f>
        <v>0.11407367451292359</v>
      </c>
      <c r="I53" s="14">
        <f>((IF(ISNUMBER(VLOOKUP("1.1",A2:AD112,9,FALSE)),ROUND(VLOOKUP("1.1",A2:AD112,9,FALSE),4),0) - IF(ISNA(VLOOKUP("15.1.1",A2:AD112,9,FALSE)),0,ROUND(VLOOKUP("15.1.1",A2:AD112,9,FALSE),4))) - (IF(ISNUMBER(VLOOKUP("2.1",A2:AD112,9,FALSE)),ROUND(VLOOKUP("2.1",A2:AD112,9,FALSE),4),0) - IF(ISNUMBER(VLOOKUP("2.1.2",A2:AD112,9,FALSE)),ROUND(VLOOKUP("2.1.2",A2:AD112,9,FALSE),4),0) - IF(ISNA(VLOOKUP("15.2",A2:AD112,9,FALSE)),0,ROUND(VLOOKUP("15.2",A2:AD112,9,FALSE),4))) + IF(ISNUMBER(VLOOKUP("1.2.1",A2:AD112,9,FALSE)),ROUND(VLOOKUP("1.2.1",A2:AD112,9,FALSE),4),0)) / (IF(ISNUMBER(VLOOKUP("1",A2:AD112,9,FALSE)),ROUND(VLOOKUP("1",A2:AD112,9,FALSE),4),0) - IF(ISNA(VLOOKUP("15.1.1",A2:AD112,9,FALSE)),0,ROUND(VLOOKUP("15.1.1",A2:AD112,9,FALSE),4)))</f>
        <v>0.13503989096743202</v>
      </c>
      <c r="J53" s="14">
        <f>((IF(ISNUMBER(VLOOKUP("1.1",A2:AD112,10,FALSE)),ROUND(VLOOKUP("1.1",A2:AD112,10,FALSE),4),0) - IF(ISNA(VLOOKUP("15.1.1",A2:AD112,10,FALSE)),0,ROUND(VLOOKUP("15.1.1",A2:AD112,10,FALSE),4))) - (IF(ISNUMBER(VLOOKUP("2.1",A2:AD112,10,FALSE)),ROUND(VLOOKUP("2.1",A2:AD112,10,FALSE),4),0) - IF(ISNUMBER(VLOOKUP("2.1.2",A2:AD112,10,FALSE)),ROUND(VLOOKUP("2.1.2",A2:AD112,10,FALSE),4),0) - IF(ISNA(VLOOKUP("15.2",A2:AD112,10,FALSE)),0,ROUND(VLOOKUP("15.2",A2:AD112,10,FALSE),4))) + IF(ISNUMBER(VLOOKUP("1.2.1",A2:AD112,10,FALSE)),ROUND(VLOOKUP("1.2.1",A2:AD112,10,FALSE),4),0)) / (IF(ISNUMBER(VLOOKUP("1",A2:AD112,10,FALSE)),ROUND(VLOOKUP("1",A2:AD112,10,FALSE),4),0) - IF(ISNA(VLOOKUP("15.1.1",A2:AD112,10,FALSE)),0,ROUND(VLOOKUP("15.1.1",A2:AD112,10,FALSE),4)))</f>
        <v>0.13851401642074729</v>
      </c>
      <c r="K53" s="14">
        <f>((IF(ISNUMBER(VLOOKUP("1.1",A2:AD112,11,FALSE)),ROUND(VLOOKUP("1.1",A2:AD112,11,FALSE),4),0) - IF(ISNA(VLOOKUP("15.1.1",A2:AD112,11,FALSE)),0,ROUND(VLOOKUP("15.1.1",A2:AD112,11,FALSE),4))) - (IF(ISNUMBER(VLOOKUP("2.1",A2:AD112,11,FALSE)),ROUND(VLOOKUP("2.1",A2:AD112,11,FALSE),4),0) - IF(ISNUMBER(VLOOKUP("2.1.2",A2:AD112,11,FALSE)),ROUND(VLOOKUP("2.1.2",A2:AD112,11,FALSE),4),0) - IF(ISNA(VLOOKUP("15.2",A2:AD112,11,FALSE)),0,ROUND(VLOOKUP("15.2",A2:AD112,11,FALSE),4))) + IF(ISNUMBER(VLOOKUP("1.2.1",A2:AD112,11,FALSE)),ROUND(VLOOKUP("1.2.1",A2:AD112,11,FALSE),4),0)) / (IF(ISNUMBER(VLOOKUP("1",A2:AD112,11,FALSE)),ROUND(VLOOKUP("1",A2:AD112,11,FALSE),4),0) - IF(ISNA(VLOOKUP("15.1.1",A2:AD112,11,FALSE)),0,ROUND(VLOOKUP("15.1.1",A2:AD112,11,FALSE),4)))</f>
        <v>0.12284789347656852</v>
      </c>
      <c r="L53" s="14">
        <f>((IF(ISNUMBER(VLOOKUP("1.1",A2:AD112,12,FALSE)),ROUND(VLOOKUP("1.1",A2:AD112,12,FALSE),4),0) - IF(ISNA(VLOOKUP("15.1.1",A2:AD112,12,FALSE)),0,ROUND(VLOOKUP("15.1.1",A2:AD112,12,FALSE),4))) - (IF(ISNUMBER(VLOOKUP("2.1",A2:AD112,12,FALSE)),ROUND(VLOOKUP("2.1",A2:AD112,12,FALSE),4),0) - IF(ISNUMBER(VLOOKUP("2.1.2",A2:AD112,12,FALSE)),ROUND(VLOOKUP("2.1.2",A2:AD112,12,FALSE),4),0) - IF(ISNA(VLOOKUP("15.2",A2:AD112,12,FALSE)),0,ROUND(VLOOKUP("15.2",A2:AD112,12,FALSE),4))) + IF(ISNUMBER(VLOOKUP("1.2.1",A2:AD112,12,FALSE)),ROUND(VLOOKUP("1.2.1",A2:AD112,12,FALSE),4),0)) / (IF(ISNUMBER(VLOOKUP("1",A2:AD112,12,FALSE)),ROUND(VLOOKUP("1",A2:AD112,12,FALSE),4),0) - IF(ISNA(VLOOKUP("15.1.1",A2:AD112,12,FALSE)),0,ROUND(VLOOKUP("15.1.1",A2:AD112,12,FALSE),4)))</f>
        <v>0.10250457600979436</v>
      </c>
      <c r="M53" s="14">
        <f>((IF(ISNUMBER(VLOOKUP("1.1",A2:AD112,13,FALSE)),ROUND(VLOOKUP("1.1",A2:AD112,13,FALSE),4),0) - IF(ISNA(VLOOKUP("15.1.1",A2:AD112,13,FALSE)),0,ROUND(VLOOKUP("15.1.1",A2:AD112,13,FALSE),4))) - (IF(ISNUMBER(VLOOKUP("2.1",A2:AD112,13,FALSE)),ROUND(VLOOKUP("2.1",A2:AD112,13,FALSE),4),0) - IF(ISNUMBER(VLOOKUP("2.1.2",A2:AD112,13,FALSE)),ROUND(VLOOKUP("2.1.2",A2:AD112,13,FALSE),4),0) - IF(ISNA(VLOOKUP("15.2",A2:AD112,13,FALSE)),0,ROUND(VLOOKUP("15.2",A2:AD112,13,FALSE),4))) + IF(ISNUMBER(VLOOKUP("1.2.1",A2:AD112,13,FALSE)),ROUND(VLOOKUP("1.2.1",A2:AD112,13,FALSE),4),0)) / (IF(ISNUMBER(VLOOKUP("1",A2:AD112,13,FALSE)),ROUND(VLOOKUP("1",A2:AD112,13,FALSE),4),0) - IF(ISNA(VLOOKUP("15.1.1",A2:AD112,13,FALSE)),0,ROUND(VLOOKUP("15.1.1",A2:AD112,13,FALSE),4)))</f>
        <v>0.11158210614653766</v>
      </c>
      <c r="N53" s="14">
        <f>((IF(ISNUMBER(VLOOKUP("1.1",A2:AD112,14,FALSE)),ROUND(VLOOKUP("1.1",A2:AD112,14,FALSE),4),0) - IF(ISNA(VLOOKUP("15.1.1",A2:AD112,14,FALSE)),0,ROUND(VLOOKUP("15.1.1",A2:AD112,14,FALSE),4))) - (IF(ISNUMBER(VLOOKUP("2.1",A2:AD112,14,FALSE)),ROUND(VLOOKUP("2.1",A2:AD112,14,FALSE),4),0) - IF(ISNUMBER(VLOOKUP("2.1.2",A2:AD112,14,FALSE)),ROUND(VLOOKUP("2.1.2",A2:AD112,14,FALSE),4),0) - IF(ISNA(VLOOKUP("15.2",A2:AD112,14,FALSE)),0,ROUND(VLOOKUP("15.2",A2:AD112,14,FALSE),4))) + IF(ISNUMBER(VLOOKUP("1.2.1",A2:AD112,14,FALSE)),ROUND(VLOOKUP("1.2.1",A2:AD112,14,FALSE),4),0)) / (IF(ISNUMBER(VLOOKUP("1",A2:AD112,14,FALSE)),ROUND(VLOOKUP("1",A2:AD112,14,FALSE),4),0) - IF(ISNA(VLOOKUP("15.1.1",A2:AD112,14,FALSE)),0,ROUND(VLOOKUP("15.1.1",A2:AD112,14,FALSE),4)))</f>
        <v>0.12094545274271194</v>
      </c>
      <c r="O53" s="14">
        <f>((IF(ISNUMBER(VLOOKUP("1.1",A2:AD112,15,FALSE)),ROUND(VLOOKUP("1.1",A2:AD112,15,FALSE),4),0) - IF(ISNA(VLOOKUP("15.1.1",A2:AD112,15,FALSE)),0,ROUND(VLOOKUP("15.1.1",A2:AD112,15,FALSE),4))) - (IF(ISNUMBER(VLOOKUP("2.1",A2:AD112,15,FALSE)),ROUND(VLOOKUP("2.1",A2:AD112,15,FALSE),4),0) - IF(ISNUMBER(VLOOKUP("2.1.2",A2:AD112,15,FALSE)),ROUND(VLOOKUP("2.1.2",A2:AD112,15,FALSE),4),0) - IF(ISNA(VLOOKUP("15.2",A2:AD112,15,FALSE)),0,ROUND(VLOOKUP("15.2",A2:AD112,15,FALSE),4))) + IF(ISNUMBER(VLOOKUP("1.2.1",A2:AD112,15,FALSE)),ROUND(VLOOKUP("1.2.1",A2:AD112,15,FALSE),4),0)) / (IF(ISNUMBER(VLOOKUP("1",A2:AD112,15,FALSE)),ROUND(VLOOKUP("1",A2:AD112,15,FALSE),4),0) - IF(ISNA(VLOOKUP("15.1.1",A2:AD112,15,FALSE)),0,ROUND(VLOOKUP("15.1.1",A2:AD112,15,FALSE),4)))</f>
        <v>0.13022365763162963</v>
      </c>
      <c r="P53" s="14">
        <f>((IF(ISNUMBER(VLOOKUP("1.1",A2:AD112,16,FALSE)),ROUND(VLOOKUP("1.1",A2:AD112,16,FALSE),4),0) - IF(ISNA(VLOOKUP("15.1.1",A2:AD112,16,FALSE)),0,ROUND(VLOOKUP("15.1.1",A2:AD112,16,FALSE),4))) - (IF(ISNUMBER(VLOOKUP("2.1",A2:AD112,16,FALSE)),ROUND(VLOOKUP("2.1",A2:AD112,16,FALSE),4),0) - IF(ISNUMBER(VLOOKUP("2.1.2",A2:AD112,16,FALSE)),ROUND(VLOOKUP("2.1.2",A2:AD112,16,FALSE),4),0) - IF(ISNA(VLOOKUP("15.2",A2:AD112,16,FALSE)),0,ROUND(VLOOKUP("15.2",A2:AD112,16,FALSE),4))) + IF(ISNUMBER(VLOOKUP("1.2.1",A2:AD112,16,FALSE)),ROUND(VLOOKUP("1.2.1",A2:AD112,16,FALSE),4),0)) / (IF(ISNUMBER(VLOOKUP("1",A2:AD112,16,FALSE)),ROUND(VLOOKUP("1",A2:AD112,16,FALSE),4),0) - IF(ISNA(VLOOKUP("15.1.1",A2:AD112,16,FALSE)),0,ROUND(VLOOKUP("15.1.1",A2:AD112,16,FALSE),4)))</f>
        <v>0.13355694566444271</v>
      </c>
      <c r="Q53" s="14">
        <f>((IF(ISNUMBER(VLOOKUP("1.1",A2:AD112,17,FALSE)),ROUND(VLOOKUP("1.1",A2:AD112,17,FALSE),4),0) - IF(ISNA(VLOOKUP("15.1.1",A2:AD112,17,FALSE)),0,ROUND(VLOOKUP("15.1.1",A2:AD112,17,FALSE),4))) - (IF(ISNUMBER(VLOOKUP("2.1",A2:AD112,17,FALSE)),ROUND(VLOOKUP("2.1",A2:AD112,17,FALSE),4),0) - IF(ISNUMBER(VLOOKUP("2.1.2",A2:AD112,17,FALSE)),ROUND(VLOOKUP("2.1.2",A2:AD112,17,FALSE),4),0) - IF(ISNA(VLOOKUP("15.2",A2:AD112,17,FALSE)),0,ROUND(VLOOKUP("15.2",A2:AD112,17,FALSE),4))) + IF(ISNUMBER(VLOOKUP("1.2.1",A2:AD112,17,FALSE)),ROUND(VLOOKUP("1.2.1",A2:AD112,17,FALSE),4),0)) / (IF(ISNUMBER(VLOOKUP("1",A2:AD112,17,FALSE)),ROUND(VLOOKUP("1",A2:AD112,17,FALSE),4),0) - IF(ISNA(VLOOKUP("15.1.1",A2:AD112,17,FALSE)),0,ROUND(VLOOKUP("15.1.1",A2:AD112,17,FALSE),4)))</f>
        <v>0.14314810168483694</v>
      </c>
      <c r="R53" s="14">
        <f>((IF(ISNUMBER(VLOOKUP("1.1",A2:AD112,18,FALSE)),ROUND(VLOOKUP("1.1",A2:AD112,18,FALSE),4),0) - IF(ISNA(VLOOKUP("15.1.1",A2:AD112,18,FALSE)),0,ROUND(VLOOKUP("15.1.1",A2:AD112,18,FALSE),4))) - (IF(ISNUMBER(VLOOKUP("2.1",A2:AD112,18,FALSE)),ROUND(VLOOKUP("2.1",A2:AD112,18,FALSE),4),0) - IF(ISNUMBER(VLOOKUP("2.1.2",A2:AD112,18,FALSE)),ROUND(VLOOKUP("2.1.2",A2:AD112,18,FALSE),4),0) - IF(ISNA(VLOOKUP("15.2",A2:AD112,18,FALSE)),0,ROUND(VLOOKUP("15.2",A2:AD112,18,FALSE),4))) + IF(ISNUMBER(VLOOKUP("1.2.1",A2:AD112,18,FALSE)),ROUND(VLOOKUP("1.2.1",A2:AD112,18,FALSE),4),0)) / (IF(ISNUMBER(VLOOKUP("1",A2:AD112,18,FALSE)),ROUND(VLOOKUP("1",A2:AD112,18,FALSE),4),0) - IF(ISNA(VLOOKUP("15.1.1",A2:AD112,18,FALSE)),0,ROUND(VLOOKUP("15.1.1",A2:AD112,18,FALSE),4)))</f>
        <v>0.15249234941063153</v>
      </c>
      <c r="S53" s="14">
        <f>((IF(ISNUMBER(VLOOKUP("1.1",A2:AD112,19,FALSE)),ROUND(VLOOKUP("1.1",A2:AD112,19,FALSE),4),0) - IF(ISNA(VLOOKUP("15.1.1",A2:AD112,19,FALSE)),0,ROUND(VLOOKUP("15.1.1",A2:AD112,19,FALSE),4))) - (IF(ISNUMBER(VLOOKUP("2.1",A2:AD112,19,FALSE)),ROUND(VLOOKUP("2.1",A2:AD112,19,FALSE),4),0) - IF(ISNUMBER(VLOOKUP("2.1.2",A2:AD112,19,FALSE)),ROUND(VLOOKUP("2.1.2",A2:AD112,19,FALSE),4),0) - IF(ISNA(VLOOKUP("15.2",A2:AD112,19,FALSE)),0,ROUND(VLOOKUP("15.2",A2:AD112,19,FALSE),4))) + IF(ISNUMBER(VLOOKUP("1.2.1",A2:AD112,19,FALSE)),ROUND(VLOOKUP("1.2.1",A2:AD112,19,FALSE),4),0)) / (IF(ISNUMBER(VLOOKUP("1",A2:AD112,19,FALSE)),ROUND(VLOOKUP("1",A2:AD112,19,FALSE),4),0) - IF(ISNA(VLOOKUP("15.1.1",A2:AD112,19,FALSE)),0,ROUND(VLOOKUP("15.1.1",A2:AD112,19,FALSE),4)))</f>
        <v>0.16108030331869097</v>
      </c>
      <c r="T53" s="14">
        <f>((IF(ISNUMBER(VLOOKUP("1.1",A2:AD112,20,FALSE)),ROUND(VLOOKUP("1.1",A2:AD112,20,FALSE),4),0) - IF(ISNA(VLOOKUP("15.1.1",A2:AD112,20,FALSE)),0,ROUND(VLOOKUP("15.1.1",A2:AD112,20,FALSE),4))) - (IF(ISNUMBER(VLOOKUP("2.1",A2:AD112,20,FALSE)),ROUND(VLOOKUP("2.1",A2:AD112,20,FALSE),4),0) - IF(ISNUMBER(VLOOKUP("2.1.2",A2:AD112,20,FALSE)),ROUND(VLOOKUP("2.1.2",A2:AD112,20,FALSE),4),0) - IF(ISNA(VLOOKUP("15.2",A2:AD112,20,FALSE)),0,ROUND(VLOOKUP("15.2",A2:AD112,20,FALSE),4))) + IF(ISNUMBER(VLOOKUP("1.2.1",A2:AD112,20,FALSE)),ROUND(VLOOKUP("1.2.1",A2:AD112,20,FALSE),4),0)) / (IF(ISNUMBER(VLOOKUP("1",A2:AD112,20,FALSE)),ROUND(VLOOKUP("1",A2:AD112,20,FALSE),4),0) - IF(ISNA(VLOOKUP("15.1.1",A2:AD112,20,FALSE)),0,ROUND(VLOOKUP("15.1.1",A2:AD112,20,FALSE),4)))</f>
        <v>0.16910401054789079</v>
      </c>
      <c r="U53" s="14">
        <f>((IF(ISNUMBER(VLOOKUP("1.1",A2:AD112,21,FALSE)),ROUND(VLOOKUP("1.1",A2:AD112,21,FALSE),4),0) - IF(ISNA(VLOOKUP("15.1.1",A2:AD112,21,FALSE)),0,ROUND(VLOOKUP("15.1.1",A2:AD112,21,FALSE),4))) - (IF(ISNUMBER(VLOOKUP("2.1",A2:AD112,21,FALSE)),ROUND(VLOOKUP("2.1",A2:AD112,21,FALSE),4),0) - IF(ISNUMBER(VLOOKUP("2.1.2",A2:AD112,21,FALSE)),ROUND(VLOOKUP("2.1.2",A2:AD112,21,FALSE),4),0) - IF(ISNA(VLOOKUP("15.2",A2:AD112,21,FALSE)),0,ROUND(VLOOKUP("15.2",A2:AD112,21,FALSE),4))) + IF(ISNUMBER(VLOOKUP("1.2.1",A2:AD112,21,FALSE)),ROUND(VLOOKUP("1.2.1",A2:AD112,21,FALSE),4),0)) / (IF(ISNUMBER(VLOOKUP("1",A2:AD112,21,FALSE)),ROUND(VLOOKUP("1",A2:AD112,21,FALSE),4),0) - IF(ISNA(VLOOKUP("15.1.1",A2:AD112,21,FALSE)),0,ROUND(VLOOKUP("15.1.1",A2:AD112,21,FALSE),4)))</f>
        <v>0.17674039166961561</v>
      </c>
      <c r="V53" s="14">
        <f>((IF(ISNUMBER(VLOOKUP("1.1",A2:AD112,22,FALSE)),ROUND(VLOOKUP("1.1",A2:AD112,22,FALSE),4),0) - IF(ISNA(VLOOKUP("15.1.1",A2:AD112,22,FALSE)),0,ROUND(VLOOKUP("15.1.1",A2:AD112,22,FALSE),4))) - (IF(ISNUMBER(VLOOKUP("2.1",A2:AD112,22,FALSE)),ROUND(VLOOKUP("2.1",A2:AD112,22,FALSE),4),0) - IF(ISNUMBER(VLOOKUP("2.1.2",A2:AD112,22,FALSE)),ROUND(VLOOKUP("2.1.2",A2:AD112,22,FALSE),4),0) - IF(ISNA(VLOOKUP("15.2",A2:AD112,22,FALSE)),0,ROUND(VLOOKUP("15.2",A2:AD112,22,FALSE),4))) + IF(ISNUMBER(VLOOKUP("1.2.1",A2:AD112,22,FALSE)),ROUND(VLOOKUP("1.2.1",A2:AD112,22,FALSE),4),0)) / (IF(ISNUMBER(VLOOKUP("1",A2:AD112,22,FALSE)),ROUND(VLOOKUP("1",A2:AD112,22,FALSE),4),0) - IF(ISNA(VLOOKUP("15.1.1",A2:AD112,22,FALSE)),0,ROUND(VLOOKUP("15.1.1",A2:AD112,22,FALSE),4)))</f>
        <v>0.18409676531456765</v>
      </c>
      <c r="W53" s="14">
        <f>((IF(ISNUMBER(VLOOKUP("1.1",A2:AD112,23,FALSE)),ROUND(VLOOKUP("1.1",A2:AD112,23,FALSE),4),0) - IF(ISNA(VLOOKUP("15.1.1",A2:AD112,23,FALSE)),0,ROUND(VLOOKUP("15.1.1",A2:AD112,23,FALSE),4))) - (IF(ISNUMBER(VLOOKUP("2.1",A2:AD112,23,FALSE)),ROUND(VLOOKUP("2.1",A2:AD112,23,FALSE),4),0) - IF(ISNUMBER(VLOOKUP("2.1.2",A2:AD112,23,FALSE)),ROUND(VLOOKUP("2.1.2",A2:AD112,23,FALSE),4),0) - IF(ISNA(VLOOKUP("15.2",A2:AD112,23,FALSE)),0,ROUND(VLOOKUP("15.2",A2:AD112,23,FALSE),4))) + IF(ISNUMBER(VLOOKUP("1.2.1",A2:AD112,23,FALSE)),ROUND(VLOOKUP("1.2.1",A2:AD112,23,FALSE),4),0)) / (IF(ISNUMBER(VLOOKUP("1",A2:AD112,23,FALSE)),ROUND(VLOOKUP("1",A2:AD112,23,FALSE),4),0) - IF(ISNA(VLOOKUP("15.1.1",A2:AD112,23,FALSE)),0,ROUND(VLOOKUP("15.1.1",A2:AD112,23,FALSE),4)))</f>
        <v>0.19102168901876396</v>
      </c>
      <c r="X53" s="14">
        <f>((IF(ISNUMBER(VLOOKUP("1.1",A2:AD112,24,FALSE)),ROUND(VLOOKUP("1.1",A2:AD112,24,FALSE),4),0) - IF(ISNA(VLOOKUP("15.1.1",A2:AD112,24,FALSE)),0,ROUND(VLOOKUP("15.1.1",A2:AD112,24,FALSE),4))) - (IF(ISNUMBER(VLOOKUP("2.1",A2:AD112,24,FALSE)),ROUND(VLOOKUP("2.1",A2:AD112,24,FALSE),4),0) - IF(ISNUMBER(VLOOKUP("2.1.2",A2:AD112,24,FALSE)),ROUND(VLOOKUP("2.1.2",A2:AD112,24,FALSE),4),0) - IF(ISNA(VLOOKUP("15.2",A2:AD112,24,FALSE)),0,ROUND(VLOOKUP("15.2",A2:AD112,24,FALSE),4))) + IF(ISNUMBER(VLOOKUP("1.2.1",A2:AD112,24,FALSE)),ROUND(VLOOKUP("1.2.1",A2:AD112,24,FALSE),4),0)) / (IF(ISNUMBER(VLOOKUP("1",A2:AD112,24,FALSE)),ROUND(VLOOKUP("1",A2:AD112,24,FALSE),4),0) - IF(ISNA(VLOOKUP("15.1.1",A2:AD112,24,FALSE)),0,ROUND(VLOOKUP("15.1.1",A2:AD112,24,FALSE),4)))</f>
        <v>0.19745236580284767</v>
      </c>
      <c r="Y53" s="14">
        <f>((IF(ISNUMBER(VLOOKUP("1.1",A2:AD112,25,FALSE)),ROUND(VLOOKUP("1.1",A2:AD112,25,FALSE),4),0) - IF(ISNA(VLOOKUP("15.1.1",A2:AD112,25,FALSE)),0,ROUND(VLOOKUP("15.1.1",A2:AD112,25,FALSE),4))) - (IF(ISNUMBER(VLOOKUP("2.1",A2:AD112,25,FALSE)),ROUND(VLOOKUP("2.1",A2:AD112,25,FALSE),4),0) - IF(ISNUMBER(VLOOKUP("2.1.2",A2:AD112,25,FALSE)),ROUND(VLOOKUP("2.1.2",A2:AD112,25,FALSE),4),0) - IF(ISNA(VLOOKUP("15.2",A2:AD112,25,FALSE)),0,ROUND(VLOOKUP("15.2",A2:AD112,25,FALSE),4))) + IF(ISNUMBER(VLOOKUP("1.2.1",A2:AD112,25,FALSE)),ROUND(VLOOKUP("1.2.1",A2:AD112,25,FALSE),4),0)) / (IF(ISNUMBER(VLOOKUP("1",A2:AD112,25,FALSE)),ROUND(VLOOKUP("1",A2:AD112,25,FALSE),4),0) - IF(ISNA(VLOOKUP("15.1.1",A2:AD112,25,FALSE)),0,ROUND(VLOOKUP("15.1.1",A2:AD112,25,FALSE),4)))</f>
        <v>0.20355493251520415</v>
      </c>
      <c r="Z53" s="14">
        <f>((IF(ISNUMBER(VLOOKUP("1.1",A2:AD112,26,FALSE)),ROUND(VLOOKUP("1.1",A2:AD112,26,FALSE),4),0) - IF(ISNA(VLOOKUP("15.1.1",A2:AD112,26,FALSE)),0,ROUND(VLOOKUP("15.1.1",A2:AD112,26,FALSE),4))) - (IF(ISNUMBER(VLOOKUP("2.1",A2:AD112,26,FALSE)),ROUND(VLOOKUP("2.1",A2:AD112,26,FALSE),4),0) - IF(ISNUMBER(VLOOKUP("2.1.2",A2:AD112,26,FALSE)),ROUND(VLOOKUP("2.1.2",A2:AD112,26,FALSE),4),0) - IF(ISNA(VLOOKUP("15.2",A2:AD112,26,FALSE)),0,ROUND(VLOOKUP("15.2",A2:AD112,26,FALSE),4))) + IF(ISNUMBER(VLOOKUP("1.2.1",A2:AD112,26,FALSE)),ROUND(VLOOKUP("1.2.1",A2:AD112,26,FALSE),4),0)) / (IF(ISNUMBER(VLOOKUP("1",A2:AD112,26,FALSE)),ROUND(VLOOKUP("1",A2:AD112,26,FALSE),4),0) - IF(ISNA(VLOOKUP("15.1.1",A2:AD112,26,FALSE)),0,ROUND(VLOOKUP("15.1.1",A2:AD112,26,FALSE),4)))</f>
        <v>0.20957631417252143</v>
      </c>
      <c r="AA53" s="14">
        <f>((IF(ISNUMBER(VLOOKUP("1.1",A2:AD112,27,FALSE)),ROUND(VLOOKUP("1.1",A2:AD112,27,FALSE),4),0) - IF(ISNA(VLOOKUP("15.1.1",A2:AD112,27,FALSE)),0,ROUND(VLOOKUP("15.1.1",A2:AD112,27,FALSE),4))) - (IF(ISNUMBER(VLOOKUP("2.1",A2:AD112,27,FALSE)),ROUND(VLOOKUP("2.1",A2:AD112,27,FALSE),4),0) - IF(ISNUMBER(VLOOKUP("2.1.2",A2:AD112,27,FALSE)),ROUND(VLOOKUP("2.1.2",A2:AD112,27,FALSE),4),0) - IF(ISNA(VLOOKUP("15.2",A2:AD112,27,FALSE)),0,ROUND(VLOOKUP("15.2",A2:AD112,27,FALSE),4))) + IF(ISNUMBER(VLOOKUP("1.2.1",A2:AD112,27,FALSE)),ROUND(VLOOKUP("1.2.1",A2:AD112,27,FALSE),4),0)) / (IF(ISNUMBER(VLOOKUP("1",A2:AD112,27,FALSE)),ROUND(VLOOKUP("1",A2:AD112,27,FALSE),4),0) - IF(ISNA(VLOOKUP("15.1.1",A2:AD112,27,FALSE)),0,ROUND(VLOOKUP("15.1.1",A2:AD112,27,FALSE),4)))</f>
        <v>0.21551752261014567</v>
      </c>
      <c r="AB53" s="14">
        <f>((IF(ISNUMBER(VLOOKUP("1.1",A2:AD112,28,FALSE)),ROUND(VLOOKUP("1.1",A2:AD112,28,FALSE),4),0) - IF(ISNA(VLOOKUP("15.1.1",A2:AD112,28,FALSE)),0,ROUND(VLOOKUP("15.1.1",A2:AD112,28,FALSE),4))) - (IF(ISNUMBER(VLOOKUP("2.1",A2:AD112,28,FALSE)),ROUND(VLOOKUP("2.1",A2:AD112,28,FALSE),4),0) - IF(ISNUMBER(VLOOKUP("2.1.2",A2:AD112,28,FALSE)),ROUND(VLOOKUP("2.1.2",A2:AD112,28,FALSE),4),0) - IF(ISNA(VLOOKUP("15.2",A2:AD112,28,FALSE)),0,ROUND(VLOOKUP("15.2",A2:AD112,28,FALSE),4))) + IF(ISNUMBER(VLOOKUP("1.2.1",A2:AD112,28,FALSE)),ROUND(VLOOKUP("1.2.1",A2:AD112,28,FALSE),4),0)) / (IF(ISNUMBER(VLOOKUP("1",A2:AD112,28,FALSE)),ROUND(VLOOKUP("1",A2:AD112,28,FALSE),4),0) - IF(ISNA(VLOOKUP("15.1.1",A2:AD112,28,FALSE)),0,ROUND(VLOOKUP("15.1.1",A2:AD112,28,FALSE),4)))</f>
        <v>0.2214088573006705</v>
      </c>
      <c r="AC53" s="14">
        <f>((IF(ISNUMBER(VLOOKUP("1.1",A2:AD112,29,FALSE)),ROUND(VLOOKUP("1.1",A2:AD112,29,FALSE),4),0) - IF(ISNA(VLOOKUP("15.1.1",A2:AD112,29,FALSE)),0,ROUND(VLOOKUP("15.1.1",A2:AD112,29,FALSE),4))) - (IF(ISNUMBER(VLOOKUP("2.1",A2:AD112,29,FALSE)),ROUND(VLOOKUP("2.1",A2:AD112,29,FALSE),4),0) - IF(ISNUMBER(VLOOKUP("2.1.2",A2:AD112,29,FALSE)),ROUND(VLOOKUP("2.1.2",A2:AD112,29,FALSE),4),0) - IF(ISNA(VLOOKUP("15.2",A2:AD112,29,FALSE)),0,ROUND(VLOOKUP("15.2",A2:AD112,29,FALSE),4))) + IF(ISNUMBER(VLOOKUP("1.2.1",A2:AD112,29,FALSE)),ROUND(VLOOKUP("1.2.1",A2:AD112,29,FALSE),4),0)) / (IF(ISNUMBER(VLOOKUP("1",A2:AD112,29,FALSE)),ROUND(VLOOKUP("1",A2:AD112,29,FALSE),4),0) - IF(ISNA(VLOOKUP("15.1.1",A2:AD112,29,FALSE)),0,ROUND(VLOOKUP("15.1.1",A2:AD112,29,FALSE),4)))</f>
        <v>0.22724927492860841</v>
      </c>
      <c r="AD53" s="14">
        <f>((IF(ISNUMBER(VLOOKUP("1.1",A2:AD112,30,FALSE)),ROUND(VLOOKUP("1.1",A2:AD112,30,FALSE),4),0) - IF(ISNA(VLOOKUP("15.1.1",A2:AD112,30,FALSE)),0,ROUND(VLOOKUP("15.1.1",A2:AD112,30,FALSE),4))) - (IF(ISNUMBER(VLOOKUP("2.1",A2:AD112,30,FALSE)),ROUND(VLOOKUP("2.1",A2:AD112,30,FALSE),4),0) - IF(ISNUMBER(VLOOKUP("2.1.2",A2:AD112,30,FALSE)),ROUND(VLOOKUP("2.1.2",A2:AD112,30,FALSE),4),0) - IF(ISNA(VLOOKUP("15.2",A2:AD112,30,FALSE)),0,ROUND(VLOOKUP("15.2",A2:AD112,30,FALSE),4))) + IF(ISNUMBER(VLOOKUP("1.2.1",A2:AD112,30,FALSE)),ROUND(VLOOKUP("1.2.1",A2:AD112,30,FALSE),4),0)) / (IF(ISNUMBER(VLOOKUP("1",A2:AD112,30,FALSE)),ROUND(VLOOKUP("1",A2:AD112,30,FALSE),4),0) - IF(ISNA(VLOOKUP("15.1.1",A2:AD112,30,FALSE)),0,ROUND(VLOOKUP("15.1.1",A2:AD112,30,FALSE),4)))</f>
        <v>0.23650763321524845</v>
      </c>
    </row>
    <row r="54" spans="1:30" ht="65.650000000000006" customHeight="1" x14ac:dyDescent="0.25">
      <c r="A54" s="15" t="s">
        <v>130</v>
      </c>
      <c r="B54" s="16" t="s">
        <v>131</v>
      </c>
      <c r="C54" s="17">
        <f t="shared" ref="C54:F55" si="0" xml:space="preserve"> 0.15</f>
        <v>0.15</v>
      </c>
      <c r="D54" s="17">
        <f t="shared" si="0"/>
        <v>0.15</v>
      </c>
      <c r="E54" s="17">
        <f t="shared" si="0"/>
        <v>0.15</v>
      </c>
      <c r="F54" s="17">
        <f t="shared" si="0"/>
        <v>0.15</v>
      </c>
      <c r="G54" s="17">
        <f>(IF(ISNUMBER(VLOOKUP("9.5",A2:AD112,3,FALSE)),VLOOKUP("9.5",A2:AD112,3,FALSE),0) + IF(ISNUMBER(VLOOKUP("9.5",A2:AD112,4,FALSE)),VLOOKUP("9.5",A2:AD112,4,FALSE),0) + IF(ISNUMBER(VLOOKUP("9.5",A2:AD112,5,FALSE)),VLOOKUP("9.5",A2:AD112,5,FALSE),0)) / 3</f>
        <v>9.230607298366017E-2</v>
      </c>
      <c r="H54" s="17">
        <f xml:space="preserve"> (IF(ISNUMBER(VLOOKUP("9.5",A2:AD112,4,FALSE)),VLOOKUP("9.5",A2:AD112,4,FALSE),0) + IF(ISNUMBER(VLOOKUP("9.5",A2:AD112,5,FALSE)),VLOOKUP("9.5",A2:AD112,5,FALSE),0) + IF(ISNUMBER(VLOOKUP("9.5",A2:AD112,7,FALSE)),VLOOKUP("9.5",A2:AD112,7,FALSE),0)) / 3</f>
        <v>8.514900934599956E-2</v>
      </c>
      <c r="I54" s="17">
        <f xml:space="preserve"> (IF(ISNUMBER(VLOOKUP("9.5",A2:AD112,5,FALSE)),VLOOKUP("9.5",A2:AD112,5,FALSE),0) + IF(ISNUMBER(VLOOKUP("9.5",A2:AD112,7,FALSE)),VLOOKUP("9.5",A2:AD112,7,FALSE),0) + IF(ISNUMBER(VLOOKUP("9.5",A2:AD112,8,FALSE)),VLOOKUP("9.5",A2:AD112,8,FALSE),0)) / 3</f>
        <v>9.5773379286828705E-2</v>
      </c>
      <c r="J54" s="17">
        <f>(IF(ISNUMBER(VLOOKUP("9.5",A2:AD112,7,FALSE)),VLOOKUP("9.5",A2:AD112,7,FALSE),0) + IF(ISNUMBER(VLOOKUP("9.5",A2:AD112,8,FALSE)),VLOOKUP("9.5",A2:AD112,8,FALSE),0) + IF(ISNUMBER(VLOOKUP("9.5",A2:AD112,9,FALSE)),VLOOKUP("9.5",A2:AD112,9,FALSE),0)) / 3</f>
        <v>0.10977582811888469</v>
      </c>
      <c r="K54" s="17">
        <f>(IF(ISNUMBER(VLOOKUP("9.5",A2:AD112,8,FALSE)),VLOOKUP("9.5",A2:AD112,8,FALSE),0) + IF(ISNUMBER(VLOOKUP("9.5",A2:AD112,9,FALSE)),VLOOKUP("9.5",A2:AD112,9,FALSE),0) + IF(ISNUMBER(VLOOKUP("9.5",A2:AD112,10,FALSE)),VLOOKUP("9.5",A2:AD112,10,FALSE),0)) / 3</f>
        <v>0.12920919396703431</v>
      </c>
      <c r="L54" s="17">
        <f>(IF(ISNUMBER(VLOOKUP("9.5",A2:AD112,9,FALSE)),VLOOKUP("9.5",A2:AD112,9,FALSE),0) + IF(ISNUMBER(VLOOKUP("9.5",A2:AD112,10,FALSE)),VLOOKUP("9.5",A2:AD112,10,FALSE),0) + IF(ISNUMBER(VLOOKUP("9.5",A2:AD112,11,FALSE)),VLOOKUP("9.5",A2:AD112,11,FALSE),0)) / 3</f>
        <v>0.13213393362158263</v>
      </c>
      <c r="M54" s="17">
        <f>(IF(ISNUMBER(VLOOKUP("9.5",A2:AD112,10,FALSE)),VLOOKUP("9.5",A2:AD112,10,FALSE),0) + IF(ISNUMBER(VLOOKUP("9.5",A2:AD112,11,FALSE)),VLOOKUP("9.5",A2:AD112,11,FALSE),0) + IF(ISNUMBER(VLOOKUP("9.5",A2:AD112,12,FALSE)),VLOOKUP("9.5",A2:AD112,12,FALSE),0)) / 3</f>
        <v>0.12128882863570338</v>
      </c>
      <c r="N54" s="17">
        <f>(IF(ISNUMBER(VLOOKUP("9.5",A2:AD112,11,FALSE)),VLOOKUP("9.5",A2:AD112,11,FALSE),0) + IF(ISNUMBER(VLOOKUP("9.5",A2:AD112,12,FALSE)),VLOOKUP("9.5",A2:AD112,12,FALSE),0) + IF(ISNUMBER(VLOOKUP("9.5",A2:AD112,13,FALSE)),VLOOKUP("9.5",A2:AD112,13,FALSE),0)) / 3</f>
        <v>0.11231152521096684</v>
      </c>
      <c r="O54" s="17">
        <f>(IF(ISNUMBER(VLOOKUP("9.5",A2:AD112,12,FALSE)),VLOOKUP("9.5",A2:AD112,12,FALSE),0) + IF(ISNUMBER(VLOOKUP("9.5",A2:AD112,13,FALSE)),VLOOKUP("9.5",A2:AD112,13,FALSE),0) + IF(ISNUMBER(VLOOKUP("9.5",A2:AD112,14,FALSE)),VLOOKUP("9.5",A2:AD112,14,FALSE),0)) / 3</f>
        <v>0.11167737829968133</v>
      </c>
      <c r="P54" s="17">
        <f>(IF(ISNUMBER(VLOOKUP("9.5",A2:AD112,13,FALSE)),VLOOKUP("9.5",A2:AD112,13,FALSE),0) + IF(ISNUMBER(VLOOKUP("9.5",A2:AD112,14,FALSE)),VLOOKUP("9.5",A2:AD112,14,FALSE),0) + IF(ISNUMBER(VLOOKUP("9.5",A2:AD112,15,FALSE)),VLOOKUP("9.5",A2:AD112,15,FALSE),0)) / 3</f>
        <v>0.12091707217362641</v>
      </c>
      <c r="Q54" s="17">
        <f>(IF(ISNUMBER(VLOOKUP("9.5",A2:AD112,14,FALSE)),VLOOKUP("9.5",A2:AD112,14,FALSE),0) + IF(ISNUMBER(VLOOKUP("9.5",A2:AD112,15,FALSE)),VLOOKUP("9.5",A2:AD112,15,FALSE),0) + IF(ISNUMBER(VLOOKUP("9.5",A2:AD112,16,FALSE)),VLOOKUP("9.5",A2:AD112,16,FALSE),0)) / 3</f>
        <v>0.12824201867959475</v>
      </c>
      <c r="R54" s="17">
        <f>(IF(ISNUMBER(VLOOKUP("9.5",A2:AD112,15,FALSE)),VLOOKUP("9.5",A2:AD112,15,FALSE),0) + IF(ISNUMBER(VLOOKUP("9.5",A2:AD112,16,FALSE)),VLOOKUP("9.5",A2:AD112,16,FALSE),0) + IF(ISNUMBER(VLOOKUP("9.5",A2:AD112,17,FALSE)),VLOOKUP("9.5",A2:AD112,17,FALSE),0)) / 3</f>
        <v>0.1356429016603031</v>
      </c>
      <c r="S54" s="17">
        <f>(IF(ISNUMBER(VLOOKUP("9.5",A2:AD112,16,FALSE)),VLOOKUP("9.5",A2:AD112,16,FALSE),0) + IF(ISNUMBER(VLOOKUP("9.5",A2:AD112,17,FALSE)),VLOOKUP("9.5",A2:AD112,17,FALSE),0) + IF(ISNUMBER(VLOOKUP("9.5",A2:AD112,18,FALSE)),VLOOKUP("9.5",A2:AD112,18,FALSE),0)) / 3</f>
        <v>0.1430657989199704</v>
      </c>
      <c r="T54" s="17">
        <f>(IF(ISNUMBER(VLOOKUP("9.5",A2:AD112,17,FALSE)),VLOOKUP("9.5",A2:AD112,17,FALSE),0) + IF(ISNUMBER(VLOOKUP("9.5",A2:AD112,18,FALSE)),VLOOKUP("9.5",A2:AD112,18,FALSE),0) + IF(ISNUMBER(VLOOKUP("9.5",A2:AD112,19,FALSE)),VLOOKUP("9.5",A2:AD112,19,FALSE),0)) / 3</f>
        <v>0.15224025147138645</v>
      </c>
      <c r="U54" s="17">
        <f>(IF(ISNUMBER(VLOOKUP("9.5",A2:AD112,18,FALSE)),VLOOKUP("9.5",A2:AD112,18,FALSE),0) + IF(ISNUMBER(VLOOKUP("9.5",A2:AD112,19,FALSE)),VLOOKUP("9.5",A2:AD112,19,FALSE),0) + IF(ISNUMBER(VLOOKUP("9.5",A2:AD112,20,FALSE)),VLOOKUP("9.5",A2:AD112,20,FALSE),0)) / 3</f>
        <v>0.16089222109240442</v>
      </c>
      <c r="V54" s="17">
        <f>(IF(ISNUMBER(VLOOKUP("9.5",A2:AD112,19,FALSE)),VLOOKUP("9.5",A2:AD112,19,FALSE),0) + IF(ISNUMBER(VLOOKUP("9.5",A2:AD112,20,FALSE)),VLOOKUP("9.5",A2:AD112,20,FALSE),0) + IF(ISNUMBER(VLOOKUP("9.5",A2:AD112,21,FALSE)),VLOOKUP("9.5",A2:AD112,21,FALSE),0)) / 3</f>
        <v>0.16897490184539912</v>
      </c>
      <c r="W54" s="17">
        <f>(IF(ISNUMBER(VLOOKUP("9.5",A2:AD112,20,FALSE)),VLOOKUP("9.5",A2:AD112,20,FALSE),0) + IF(ISNUMBER(VLOOKUP("9.5",A2:AD112,21,FALSE)),VLOOKUP("9.5",A2:AD112,21,FALSE),0) + IF(ISNUMBER(VLOOKUP("9.5",A2:AD112,22,FALSE)),VLOOKUP("9.5",A2:AD112,22,FALSE),0)) / 3</f>
        <v>0.17664705584402465</v>
      </c>
      <c r="X54" s="17">
        <f>(IF(ISNUMBER(VLOOKUP("9.5",A2:AD112,21,FALSE)),VLOOKUP("9.5",A2:AD112,21,FALSE),0) + IF(ISNUMBER(VLOOKUP("9.5",A2:AD112,22,FALSE)),VLOOKUP("9.5",A2:AD112,22,FALSE),0) + IF(ISNUMBER(VLOOKUP("9.5",A2:AD112,23,FALSE)),VLOOKUP("9.5",A2:AD112,23,FALSE),0)) / 3</f>
        <v>0.18395294866764908</v>
      </c>
      <c r="Y54" s="17">
        <f>(IF(ISNUMBER(VLOOKUP("9.5",A2:AD112,22,FALSE)),VLOOKUP("9.5",A2:AD112,22,FALSE),0) + IF(ISNUMBER(VLOOKUP("9.5",A2:AD112,23,FALSE)),VLOOKUP("9.5",A2:AD112,23,FALSE),0) + IF(ISNUMBER(VLOOKUP("9.5",A2:AD112,24,FALSE)),VLOOKUP("9.5",A2:AD112,24,FALSE),0)) / 3</f>
        <v>0.19085694004539308</v>
      </c>
      <c r="Z54" s="17">
        <f>(IF(ISNUMBER(VLOOKUP("9.5",A2:AD112,23,FALSE)),VLOOKUP("9.5",A2:AD112,23,FALSE),0) + IF(ISNUMBER(VLOOKUP("9.5",A2:AD112,24,FALSE)),VLOOKUP("9.5",A2:AD112,24,FALSE),0) + IF(ISNUMBER(VLOOKUP("9.5",A2:AD112,25,FALSE)),VLOOKUP("9.5",A2:AD112,25,FALSE),0)) / 3</f>
        <v>0.19734299577893857</v>
      </c>
      <c r="AA54" s="17">
        <f>(IF(ISNUMBER(VLOOKUP("9.5",A2:AD112,24,FALSE)),VLOOKUP("9.5",A2:AD112,24,FALSE),0) + IF(ISNUMBER(VLOOKUP("9.5",A2:AD112,25,FALSE)),VLOOKUP("9.5",A2:AD112,25,FALSE),0) + IF(ISNUMBER(VLOOKUP("9.5",A2:AD112,26,FALSE)),VLOOKUP("9.5",A2:AD112,26,FALSE),0)) / 3</f>
        <v>0.20352787083019108</v>
      </c>
      <c r="AB54" s="17">
        <f>(IF(ISNUMBER(VLOOKUP("9.5",A2:AD112,25,FALSE)),VLOOKUP("9.5",A2:AD112,25,FALSE),0) + IF(ISNUMBER(VLOOKUP("9.5",A2:AD112,26,FALSE)),VLOOKUP("9.5",A2:AD112,26,FALSE),0) + IF(ISNUMBER(VLOOKUP("9.5",A2:AD112,27,FALSE)),VLOOKUP("9.5",A2:AD112,27,FALSE),0)) / 3</f>
        <v>0.20954958976595708</v>
      </c>
      <c r="AC54" s="17">
        <f>(IF(ISNUMBER(VLOOKUP("9.5",A2:AD112,26,FALSE)),VLOOKUP("9.5",A2:AD112,26,FALSE),0) + IF(ISNUMBER(VLOOKUP("9.5",A2:AD112,27,FALSE)),VLOOKUP("9.5",A2:AD112,27,FALSE),0) + IF(ISNUMBER(VLOOKUP("9.5",A2:AD112,28,FALSE)),VLOOKUP("9.5",A2:AD112,28,FALSE),0)) / 3</f>
        <v>0.21550089802777919</v>
      </c>
      <c r="AD54" s="17">
        <f>(IF(ISNUMBER(VLOOKUP("9.5",A2:AD112,27,FALSE)),VLOOKUP("9.5",A2:AD112,27,FALSE),0) + IF(ISNUMBER(VLOOKUP("9.5",A2:AD112,28,FALSE)),VLOOKUP("9.5",A2:AD112,28,FALSE),0) + IF(ISNUMBER(VLOOKUP("9.5",A2:AD112,29,FALSE)),VLOOKUP("9.5",A2:AD112,29,FALSE),0)) / 3</f>
        <v>0.22139188494647488</v>
      </c>
    </row>
    <row r="55" spans="1:30" ht="65.650000000000006" customHeight="1" x14ac:dyDescent="0.25">
      <c r="A55" s="12" t="s">
        <v>132</v>
      </c>
      <c r="B55" s="13" t="s">
        <v>133</v>
      </c>
      <c r="C55" s="14">
        <f t="shared" si="0"/>
        <v>0.15</v>
      </c>
      <c r="D55" s="14">
        <f t="shared" si="0"/>
        <v>0.15</v>
      </c>
      <c r="E55" s="14">
        <f t="shared" si="0"/>
        <v>0.15</v>
      </c>
      <c r="F55" s="14">
        <f t="shared" si="0"/>
        <v>0.15</v>
      </c>
      <c r="G55" s="14">
        <f>(IF(ISNUMBER(VLOOKUP("9.5",A2:AD112,3,FALSE)),VLOOKUP("9.5",A2:AD112,3,FALSE),0) + IF(ISNUMBER(VLOOKUP("9.5",A2:AD112,4,FALSE)),VLOOKUP("9.5",A2:AD112,4,FALSE),0) + IF(ISNUMBER(VLOOKUP("9.5",A2:AD112,6,FALSE)),VLOOKUP("9.5",A2:AD112,6,FALSE),0)) / 3</f>
        <v>9.2341239112216436E-2</v>
      </c>
      <c r="H55" s="14">
        <f>(IF(ISNUMBER(VLOOKUP("9.5",A2:AD112,4,FALSE)),VLOOKUP("9.5",A2:AD112,4,FALSE),0) + IF(ISNUMBER(VLOOKUP("9.5",A2:AD112,6,FALSE)),VLOOKUP("9.5",A2:AD112,6,FALSE),0) + IF(ISNUMBER(VLOOKUP("9.5",A2:AD112,7,FALSE)),VLOOKUP("9.5",A2:AD112,7,FALSE),0)) / 3</f>
        <v>8.5184175474555826E-2</v>
      </c>
      <c r="I55" s="14">
        <f>(IF(ISNUMBER(VLOOKUP("9.5",A2:AD112,6,FALSE)),VLOOKUP("9.5",A2:AD112,6,FALSE),0) + IF(ISNUMBER(VLOOKUP("9.5",A2:AD112,7,FALSE)),VLOOKUP("9.5",A2:AD112,7,FALSE),0) + IF(ISNUMBER(VLOOKUP("9.5",A2:AD112,8,FALSE)),VLOOKUP("9.5",A2:AD112,8,FALSE),0)) / 3</f>
        <v>9.5808545415384971E-2</v>
      </c>
      <c r="J55" s="14">
        <f>(IF(ISNUMBER(VLOOKUP("9.5",A2:AD112,7,FALSE)),VLOOKUP("9.5",A2:AD112,7,FALSE),0) + IF(ISNUMBER(VLOOKUP("9.5",A2:AD112,8,FALSE)),VLOOKUP("9.5",A2:AD112,8,FALSE),0) + IF(ISNUMBER(VLOOKUP("9.5",A2:AD112,9,FALSE)),VLOOKUP("9.5",A2:AD112,9,FALSE),0)) / 3</f>
        <v>0.10977582811888469</v>
      </c>
      <c r="K55" s="14">
        <f>(IF(ISNUMBER(VLOOKUP("9.5",A2:AD112,8,FALSE)),VLOOKUP("9.5",A2:AD112,8,FALSE),0) + IF(ISNUMBER(VLOOKUP("9.5",A2:AD112,9,FALSE)),VLOOKUP("9.5",A2:AD112,9,FALSE),0) + IF(ISNUMBER(VLOOKUP("9.5",A2:AD112,10,FALSE)),VLOOKUP("9.5",A2:AD112,10,FALSE),0)) / 3</f>
        <v>0.12920919396703431</v>
      </c>
      <c r="L55" s="14">
        <f>(IF(ISNUMBER(VLOOKUP("9.5",A2:AD112,9,FALSE)),VLOOKUP("9.5",A2:AD112,9,FALSE),0) + IF(ISNUMBER(VLOOKUP("9.5",A2:AD112,10,FALSE)),VLOOKUP("9.5",A2:AD112,10,FALSE),0) + IF(ISNUMBER(VLOOKUP("9.5",A2:AD112,11,FALSE)),VLOOKUP("9.5",A2:AD112,11,FALSE),0)) / 3</f>
        <v>0.13213393362158263</v>
      </c>
      <c r="M55" s="14">
        <f>(IF(ISNUMBER(VLOOKUP("9.5",A2:AD112,10,FALSE)),VLOOKUP("9.5",A2:AD112,10,FALSE),0) + IF(ISNUMBER(VLOOKUP("9.5",A2:AD112,11,FALSE)),VLOOKUP("9.5",A2:AD112,11,FALSE),0) + IF(ISNUMBER(VLOOKUP("9.5",A2:AD112,12,FALSE)),VLOOKUP("9.5",A2:AD112,12,FALSE),0)) / 3</f>
        <v>0.12128882863570338</v>
      </c>
      <c r="N55" s="14">
        <f>(IF(ISNUMBER(VLOOKUP("9.5",A2:AD112,11,FALSE)),VLOOKUP("9.5",A2:AD112,11,FALSE),0) + IF(ISNUMBER(VLOOKUP("9.5",A2:AD112,12,FALSE)),VLOOKUP("9.5",A2:AD112,12,FALSE),0) + IF(ISNUMBER(VLOOKUP("9.5",A2:AD112,13,FALSE)),VLOOKUP("9.5",A2:AD112,13,FALSE),0)) / 3</f>
        <v>0.11231152521096684</v>
      </c>
      <c r="O55" s="14">
        <f>(IF(ISNUMBER(VLOOKUP("9.5",A2:AD112,12,FALSE)),VLOOKUP("9.5",A2:AD112,12,FALSE),0) + IF(ISNUMBER(VLOOKUP("9.5",A2:AD112,13,FALSE)),VLOOKUP("9.5",A2:AD112,13,FALSE),0) + IF(ISNUMBER(VLOOKUP("9.5",A2:AD112,14,FALSE)),VLOOKUP("9.5",A2:AD112,14,FALSE),0)) / 3</f>
        <v>0.11167737829968133</v>
      </c>
      <c r="P55" s="14">
        <f>(IF(ISNUMBER(VLOOKUP("9.5",A2:AD112,13,FALSE)),VLOOKUP("9.5",A2:AD112,13,FALSE),0) + IF(ISNUMBER(VLOOKUP("9.5",A2:AD112,14,FALSE)),VLOOKUP("9.5",A2:AD112,14,FALSE),0) + IF(ISNUMBER(VLOOKUP("9.5",A2:AD112,15,FALSE)),VLOOKUP("9.5",A2:AD112,15,FALSE),0)) / 3</f>
        <v>0.12091707217362641</v>
      </c>
      <c r="Q55" s="14">
        <f>(IF(ISNUMBER(VLOOKUP("9.5",A2:AD112,14,FALSE)),VLOOKUP("9.5",A2:AD112,14,FALSE),0) + IF(ISNUMBER(VLOOKUP("9.5",A2:AD112,15,FALSE)),VLOOKUP("9.5",A2:AD112,15,FALSE),0) + IF(ISNUMBER(VLOOKUP("9.5",A2:AD112,16,FALSE)),VLOOKUP("9.5",A2:AD112,16,FALSE),0)) / 3</f>
        <v>0.12824201867959475</v>
      </c>
      <c r="R55" s="14">
        <f>(IF(ISNUMBER(VLOOKUP("9.5",A2:AD112,15,FALSE)),VLOOKUP("9.5",A2:AD112,15,FALSE),0) + IF(ISNUMBER(VLOOKUP("9.5",A2:AD112,16,FALSE)),VLOOKUP("9.5",A2:AD112,16,FALSE),0) + IF(ISNUMBER(VLOOKUP("9.5",A2:AD112,17,FALSE)),VLOOKUP("9.5",A2:AD112,17,FALSE),0)) / 3</f>
        <v>0.1356429016603031</v>
      </c>
      <c r="S55" s="14">
        <f>(IF(ISNUMBER(VLOOKUP("9.5",A2:AD112,16,FALSE)),VLOOKUP("9.5",A2:AD112,16,FALSE),0) + IF(ISNUMBER(VLOOKUP("9.5",A2:AD112,17,FALSE)),VLOOKUP("9.5",A2:AD112,17,FALSE),0) + IF(ISNUMBER(VLOOKUP("9.5",A2:AD112,18,FALSE)),VLOOKUP("9.5",A2:AD112,18,FALSE),0)) / 3</f>
        <v>0.1430657989199704</v>
      </c>
      <c r="T55" s="14">
        <f>(IF(ISNUMBER(VLOOKUP("9.5",A2:AD112,17,FALSE)),VLOOKUP("9.5",A2:AD112,17,FALSE),0) + IF(ISNUMBER(VLOOKUP("9.5",A2:AD112,18,FALSE)),VLOOKUP("9.5",A2:AD112,18,FALSE),0) + IF(ISNUMBER(VLOOKUP("9.5",A2:AD112,19,FALSE)),VLOOKUP("9.5",A2:AD112,19,FALSE),0)) / 3</f>
        <v>0.15224025147138645</v>
      </c>
      <c r="U55" s="14">
        <f>(IF(ISNUMBER(VLOOKUP("9.5",A2:AD112,18,FALSE)),VLOOKUP("9.5",A2:AD112,18,FALSE),0) + IF(ISNUMBER(VLOOKUP("9.5",A2:AD112,19,FALSE)),VLOOKUP("9.5",A2:AD112,19,FALSE),0) + IF(ISNUMBER(VLOOKUP("9.5",A2:AD112,20,FALSE)),VLOOKUP("9.5",A2:AD112,20,FALSE),0)) / 3</f>
        <v>0.16089222109240442</v>
      </c>
      <c r="V55" s="14">
        <f>(IF(ISNUMBER(VLOOKUP("9.5",A2:AD112,19,FALSE)),VLOOKUP("9.5",A2:AD112,19,FALSE),0) + IF(ISNUMBER(VLOOKUP("9.5",A2:AD112,20,FALSE)),VLOOKUP("9.5",A2:AD112,20,FALSE),0) + IF(ISNUMBER(VLOOKUP("9.5",A2:AD112,21,FALSE)),VLOOKUP("9.5",A2:AD112,21,FALSE),0)) / 3</f>
        <v>0.16897490184539912</v>
      </c>
      <c r="W55" s="14">
        <f>(IF(ISNUMBER(VLOOKUP("9.5",A2:AD112,20,FALSE)),VLOOKUP("9.5",A2:AD112,20,FALSE),0) + IF(ISNUMBER(VLOOKUP("9.5",A2:AD112,21,FALSE)),VLOOKUP("9.5",A2:AD112,21,FALSE),0) + IF(ISNUMBER(VLOOKUP("9.5",A2:AD112,22,FALSE)),VLOOKUP("9.5",A2:AD112,22,FALSE),0)) / 3</f>
        <v>0.17664705584402465</v>
      </c>
      <c r="X55" s="14">
        <f>(IF(ISNUMBER(VLOOKUP("9.5",A2:AD112,21,FALSE)),VLOOKUP("9.5",A2:AD112,21,FALSE),0) + IF(ISNUMBER(VLOOKUP("9.5",A2:AD112,22,FALSE)),VLOOKUP("9.5",A2:AD112,22,FALSE),0) + IF(ISNUMBER(VLOOKUP("9.5",A2:AD112,23,FALSE)),VLOOKUP("9.5",A2:AD112,23,FALSE),0)) / 3</f>
        <v>0.18395294866764908</v>
      </c>
      <c r="Y55" s="14">
        <f>(IF(ISNUMBER(VLOOKUP("9.5",A2:AD112,22,FALSE)),VLOOKUP("9.5",A2:AD112,22,FALSE),0) + IF(ISNUMBER(VLOOKUP("9.5",A2:AD112,23,FALSE)),VLOOKUP("9.5",A2:AD112,23,FALSE),0) + IF(ISNUMBER(VLOOKUP("9.5",A2:AD112,24,FALSE)),VLOOKUP("9.5",A2:AD112,24,FALSE),0)) / 3</f>
        <v>0.19085694004539308</v>
      </c>
      <c r="Z55" s="14">
        <f>(IF(ISNUMBER(VLOOKUP("9.5",A2:AD112,23,FALSE)),VLOOKUP("9.5",A2:AD112,23,FALSE),0) + IF(ISNUMBER(VLOOKUP("9.5",A2:AD112,24,FALSE)),VLOOKUP("9.5",A2:AD112,24,FALSE),0) + IF(ISNUMBER(VLOOKUP("9.5",A2:AD112,25,FALSE)),VLOOKUP("9.5",A2:AD112,25,FALSE),0)) / 3</f>
        <v>0.19734299577893857</v>
      </c>
      <c r="AA55" s="14">
        <f>(IF(ISNUMBER(VLOOKUP("9.5",A2:AD112,24,FALSE)),VLOOKUP("9.5",A2:AD112,24,FALSE),0) + IF(ISNUMBER(VLOOKUP("9.5",A2:AD112,25,FALSE)),VLOOKUP("9.5",A2:AD112,25,FALSE),0) + IF(ISNUMBER(VLOOKUP("9.5",A2:AD112,26,FALSE)),VLOOKUP("9.5",A2:AD112,26,FALSE),0)) / 3</f>
        <v>0.20352787083019108</v>
      </c>
      <c r="AB55" s="14">
        <f>(IF(ISNUMBER(VLOOKUP("9.5",A2:AD112,25,FALSE)),VLOOKUP("9.5",A2:AD112,25,FALSE),0) + IF(ISNUMBER(VLOOKUP("9.5",A2:AD112,26,FALSE)),VLOOKUP("9.5",A2:AD112,26,FALSE),0) + IF(ISNUMBER(VLOOKUP("9.5",A2:AD112,27,FALSE)),VLOOKUP("9.5",A2:AD112,27,FALSE),0)) / 3</f>
        <v>0.20954958976595708</v>
      </c>
      <c r="AC55" s="14">
        <f>(IF(ISNUMBER(VLOOKUP("9.5",A2:AD112,26,FALSE)),VLOOKUP("9.5",A2:AD112,26,FALSE),0) + IF(ISNUMBER(VLOOKUP("9.5",A2:AD112,27,FALSE)),VLOOKUP("9.5",A2:AD112,27,FALSE),0) + IF(ISNUMBER(VLOOKUP("9.5",A2:AD112,28,FALSE)),VLOOKUP("9.5",A2:AD112,28,FALSE),0)) / 3</f>
        <v>0.21550089802777919</v>
      </c>
      <c r="AD55" s="14">
        <f>(IF(ISNUMBER(VLOOKUP("9.5",A2:AD112,27,FALSE)),VLOOKUP("9.5",A2:AD112,27,FALSE),0) + IF(ISNUMBER(VLOOKUP("9.5",A2:AD112,28,FALSE)),VLOOKUP("9.5",A2:AD112,28,FALSE),0) + IF(ISNUMBER(VLOOKUP("9.5",A2:AD112,29,FALSE)),VLOOKUP("9.5",A2:AD112,29,FALSE),0)) / 3</f>
        <v>0.22139188494647488</v>
      </c>
    </row>
    <row r="56" spans="1:30" ht="78.599999999999994" customHeight="1" x14ac:dyDescent="0.25">
      <c r="A56" s="2" t="s">
        <v>134</v>
      </c>
      <c r="B56" s="3" t="s">
        <v>135</v>
      </c>
      <c r="C56" s="18" t="str">
        <f>IF(IF(ISNUMBER(VLOOKUP("9.4",A2:AD112,3,FALSE)),ROUND(VLOOKUP("9.4",A2:AD112,3,FALSE),4),0) - IF(ISNUMBER(VLOOKUP("9.6",A2:AD112,3,FALSE)),ROUND(VLOOKUP("9.6",A2:AD112,3,FALSE),4),0) &lt;= 0, "Tak", "Nie")</f>
        <v>Tak</v>
      </c>
      <c r="D56" s="18" t="str">
        <f>IF(IF(ISNUMBER(VLOOKUP("9.4",A2:AD112,4,FALSE)),ROUND(VLOOKUP("9.4",A2:AD112,4,FALSE),4),0) - IF(ISNUMBER(VLOOKUP("9.6",A2:AD112,4,FALSE)),ROUND(VLOOKUP("9.6",A2:AD112,4,FALSE),4),0) &lt;= 0, "Tak", "Nie")</f>
        <v>Tak</v>
      </c>
      <c r="E56" s="18" t="str">
        <f>IF(IF(ISNUMBER(VLOOKUP("9.4",A2:AD112,5,FALSE)),ROUND(VLOOKUP("9.4",A2:AD112,5,FALSE),4),0) - IF(ISNUMBER(VLOOKUP("9.6",A2:AD112,5,FALSE)),ROUND(VLOOKUP("9.6",A2:AD112,5,FALSE),4),0) &lt;= 0, "Tak", "Nie")</f>
        <v>Tak</v>
      </c>
      <c r="F56" s="18" t="str">
        <f>IF(IF(ISNUMBER(VLOOKUP("9.4",A2:AD112,6,FALSE)),ROUND(VLOOKUP("9.4",A2:AD112,6,FALSE),4),0) - IF(ISNUMBER(VLOOKUP("9.6",A2:AD112,6,FALSE)),ROUND(VLOOKUP("9.6",A2:AD112,6,FALSE),4),0) &lt;= 0, "Tak", "Nie")</f>
        <v>Tak</v>
      </c>
      <c r="G56" s="18" t="str">
        <f>IF(IF(ISNUMBER(VLOOKUP("9.4",A2:AD112,7,FALSE)),ROUND(VLOOKUP("9.4",A2:AD112,7,FALSE),4),0) - IF(ISNUMBER(VLOOKUP("9.6",A2:AD112,7,FALSE)),ROUND(VLOOKUP("9.6",A2:AD112,7,FALSE),4),0) &lt;= 0, "Tak", "Nie")</f>
        <v>Tak</v>
      </c>
      <c r="H56" s="18" t="str">
        <f>IF(IF(ISNUMBER(VLOOKUP("9.4",A2:AD112,8,FALSE)),ROUND(VLOOKUP("9.4",A2:AD112,8,FALSE),4),0) - IF(ISNUMBER(VLOOKUP("9.6",A2:AD112,8,FALSE)),ROUND(VLOOKUP("9.6",A2:AD112,8,FALSE),4),0) &lt;= 0, "Tak", "Nie")</f>
        <v>Tak</v>
      </c>
      <c r="I56" s="18" t="str">
        <f>IF(IF(ISNUMBER(VLOOKUP("9.4",A2:AD112,9,FALSE)),ROUND(VLOOKUP("9.4",A2:AD112,9,FALSE),4),0) - IF(ISNUMBER(VLOOKUP("9.6",A2:AD112,9,FALSE)),ROUND(VLOOKUP("9.6",A2:AD112,9,FALSE),4),0) &lt;= 0, "Tak", "Nie")</f>
        <v>Tak</v>
      </c>
      <c r="J56" s="18" t="str">
        <f>IF(IF(ISNUMBER(VLOOKUP("9.4",A2:AD112,10,FALSE)),ROUND(VLOOKUP("9.4",A2:AD112,10,FALSE),4),0) - IF(ISNUMBER(VLOOKUP("9.6",A2:AD112,10,FALSE)),ROUND(VLOOKUP("9.6",A2:AD112,10,FALSE),4),0) &lt;= 0, "Tak", "Nie")</f>
        <v>Tak</v>
      </c>
      <c r="K56" s="18" t="str">
        <f>IF(IF(ISNUMBER(VLOOKUP("9.4",A2:AD112,11,FALSE)),ROUND(VLOOKUP("9.4",A2:AD112,11,FALSE),4),0) - IF(ISNUMBER(VLOOKUP("9.6",A2:AD112,11,FALSE)),ROUND(VLOOKUP("9.6",A2:AD112,11,FALSE),4),0) &lt;= 0, "Tak", "Nie")</f>
        <v>Tak</v>
      </c>
      <c r="L56" s="18" t="str">
        <f>IF(IF(ISNUMBER(VLOOKUP("9.4",A2:AD112,12,FALSE)),ROUND(VLOOKUP("9.4",A2:AD112,12,FALSE),4),0) - IF(ISNUMBER(VLOOKUP("9.6",A2:AD112,12,FALSE)),ROUND(VLOOKUP("9.6",A2:AD112,12,FALSE),4),0) &lt;= 0, "Tak", "Nie")</f>
        <v>Tak</v>
      </c>
      <c r="M56" s="18" t="str">
        <f>IF(IF(ISNUMBER(VLOOKUP("9.4",A2:AD112,13,FALSE)),ROUND(VLOOKUP("9.4",A2:AD112,13,FALSE),4),0) - IF(ISNUMBER(VLOOKUP("9.6",A2:AD112,13,FALSE)),ROUND(VLOOKUP("9.6",A2:AD112,13,FALSE),4),0) &lt;= 0, "Tak", "Nie")</f>
        <v>Tak</v>
      </c>
      <c r="N56" s="18" t="str">
        <f>IF(IF(ISNUMBER(VLOOKUP("9.4",A2:AD112,14,FALSE)),ROUND(VLOOKUP("9.4",A2:AD112,14,FALSE),4),0) - IF(ISNUMBER(VLOOKUP("9.6",A2:AD112,14,FALSE)),ROUND(VLOOKUP("9.6",A2:AD112,14,FALSE),4),0) &lt;= 0, "Tak", "Nie")</f>
        <v>Tak</v>
      </c>
      <c r="O56" s="18" t="str">
        <f>IF(IF(ISNUMBER(VLOOKUP("9.4",A2:AD112,15,FALSE)),ROUND(VLOOKUP("9.4",A2:AD112,15,FALSE),4),0) - IF(ISNUMBER(VLOOKUP("9.6",A2:AD112,15,FALSE)),ROUND(VLOOKUP("9.6",A2:AD112,15,FALSE),4),0) &lt;= 0, "Tak", "Nie")</f>
        <v>Tak</v>
      </c>
      <c r="P56" s="18" t="str">
        <f>IF(IF(ISNUMBER(VLOOKUP("9.4",A2:AD112,16,FALSE)),ROUND(VLOOKUP("9.4",A2:AD112,16,FALSE),4),0) - IF(ISNUMBER(VLOOKUP("9.6",A2:AD112,16,FALSE)),ROUND(VLOOKUP("9.6",A2:AD112,16,FALSE),4),0) &lt;= 0, "Tak", "Nie")</f>
        <v>Tak</v>
      </c>
      <c r="Q56" s="18" t="str">
        <f>IF(IF(ISNUMBER(VLOOKUP("9.4",A2:AD112,17,FALSE)),ROUND(VLOOKUP("9.4",A2:AD112,17,FALSE),4),0) - IF(ISNUMBER(VLOOKUP("9.6",A2:AD112,17,FALSE)),ROUND(VLOOKUP("9.6",A2:AD112,17,FALSE),4),0) &lt;= 0, "Tak", "Nie")</f>
        <v>Tak</v>
      </c>
      <c r="R56" s="18" t="str">
        <f>IF(IF(ISNUMBER(VLOOKUP("9.4",A2:AD112,18,FALSE)),ROUND(VLOOKUP("9.4",A2:AD112,18,FALSE),4),0) - IF(ISNUMBER(VLOOKUP("9.6",A2:AD112,18,FALSE)),ROUND(VLOOKUP("9.6",A2:AD112,18,FALSE),4),0) &lt;= 0, "Tak", "Nie")</f>
        <v>Tak</v>
      </c>
      <c r="S56" s="18" t="str">
        <f>IF(IF(ISNUMBER(VLOOKUP("9.4",A2:AD112,19,FALSE)),ROUND(VLOOKUP("9.4",A2:AD112,19,FALSE),4),0) - IF(ISNUMBER(VLOOKUP("9.6",A2:AD112,19,FALSE)),ROUND(VLOOKUP("9.6",A2:AD112,19,FALSE),4),0) &lt;= 0, "Tak", "Nie")</f>
        <v>Tak</v>
      </c>
      <c r="T56" s="18" t="str">
        <f>IF(IF(ISNUMBER(VLOOKUP("9.4",A2:AD112,20,FALSE)),ROUND(VLOOKUP("9.4",A2:AD112,20,FALSE),4),0) - IF(ISNUMBER(VLOOKUP("9.6",A2:AD112,20,FALSE)),ROUND(VLOOKUP("9.6",A2:AD112,20,FALSE),4),0) &lt;= 0, "Tak", "Nie")</f>
        <v>Tak</v>
      </c>
      <c r="U56" s="18" t="str">
        <f>IF(IF(ISNUMBER(VLOOKUP("9.4",A2:AD112,21,FALSE)),ROUND(VLOOKUP("9.4",A2:AD112,21,FALSE),4),0) - IF(ISNUMBER(VLOOKUP("9.6",A2:AD112,21,FALSE)),ROUND(VLOOKUP("9.6",A2:AD112,21,FALSE),4),0) &lt;= 0, "Tak", "Nie")</f>
        <v>Tak</v>
      </c>
      <c r="V56" s="18" t="str">
        <f>IF(IF(ISNUMBER(VLOOKUP("9.4",A2:AD112,22,FALSE)),ROUND(VLOOKUP("9.4",A2:AD112,22,FALSE),4),0) - IF(ISNUMBER(VLOOKUP("9.6",A2:AD112,22,FALSE)),ROUND(VLOOKUP("9.6",A2:AD112,22,FALSE),4),0) &lt;= 0, "Tak", "Nie")</f>
        <v>Tak</v>
      </c>
      <c r="W56" s="18" t="str">
        <f>IF(IF(ISNUMBER(VLOOKUP("9.4",A2:AD112,23,FALSE)),ROUND(VLOOKUP("9.4",A2:AD112,23,FALSE),4),0) - IF(ISNUMBER(VLOOKUP("9.6",A2:AD112,23,FALSE)),ROUND(VLOOKUP("9.6",A2:AD112,23,FALSE),4),0) &lt;= 0, "Tak", "Nie")</f>
        <v>Tak</v>
      </c>
      <c r="X56" s="18" t="str">
        <f>IF(IF(ISNUMBER(VLOOKUP("9.4",A2:AD112,24,FALSE)),ROUND(VLOOKUP("9.4",A2:AD112,24,FALSE),4),0) - IF(ISNUMBER(VLOOKUP("9.6",A2:AD112,24,FALSE)),ROUND(VLOOKUP("9.6",A2:AD112,24,FALSE),4),0) &lt;= 0, "Tak", "Nie")</f>
        <v>Tak</v>
      </c>
      <c r="Y56" s="18" t="str">
        <f>IF(IF(ISNUMBER(VLOOKUP("9.4",A2:AD112,25,FALSE)),ROUND(VLOOKUP("9.4",A2:AD112,25,FALSE),4),0) - IF(ISNUMBER(VLOOKUP("9.6",A2:AD112,25,FALSE)),ROUND(VLOOKUP("9.6",A2:AD112,25,FALSE),4),0) &lt;= 0, "Tak", "Nie")</f>
        <v>Tak</v>
      </c>
      <c r="Z56" s="18" t="str">
        <f>IF(IF(ISNUMBER(VLOOKUP("9.4",A2:AD112,26,FALSE)),ROUND(VLOOKUP("9.4",A2:AD112,26,FALSE),4),0) - IF(ISNUMBER(VLOOKUP("9.6",A2:AD112,26,FALSE)),ROUND(VLOOKUP("9.6",A2:AD112,26,FALSE),4),0) &lt;= 0, "Tak", "Nie")</f>
        <v>Tak</v>
      </c>
      <c r="AA56" s="18" t="str">
        <f>IF(IF(ISNUMBER(VLOOKUP("9.4",A2:AD112,27,FALSE)),ROUND(VLOOKUP("9.4",A2:AD112,27,FALSE),4),0) - IF(ISNUMBER(VLOOKUP("9.6",A2:AD112,27,FALSE)),ROUND(VLOOKUP("9.6",A2:AD112,27,FALSE),4),0) &lt;= 0, "Tak", "Nie")</f>
        <v>Tak</v>
      </c>
      <c r="AB56" s="18" t="str">
        <f>IF(IF(ISNUMBER(VLOOKUP("9.4",A2:AD112,28,FALSE)),ROUND(VLOOKUP("9.4",A2:AD112,28,FALSE),4),0) - IF(ISNUMBER(VLOOKUP("9.6",A2:AD112,28,FALSE)),ROUND(VLOOKUP("9.6",A2:AD112,28,FALSE),4),0) &lt;= 0, "Tak", "Nie")</f>
        <v>Tak</v>
      </c>
      <c r="AC56" s="18" t="str">
        <f>IF(IF(ISNUMBER(VLOOKUP("9.4",A2:AD112,29,FALSE)),ROUND(VLOOKUP("9.4",A2:AD112,29,FALSE),4),0) - IF(ISNUMBER(VLOOKUP("9.6",A2:AD112,29,FALSE)),ROUND(VLOOKUP("9.6",A2:AD112,29,FALSE),4),0) &lt;= 0, "Tak", "Nie")</f>
        <v>Tak</v>
      </c>
      <c r="AD56" s="18" t="str">
        <f>IF(IF(ISNUMBER(VLOOKUP("9.4",A2:AD112,30,FALSE)),ROUND(VLOOKUP("9.4",A2:AD112,30,FALSE),4),0) - IF(ISNUMBER(VLOOKUP("9.6",A2:AD112,30,FALSE)),ROUND(VLOOKUP("9.6",A2:AD112,30,FALSE),4),0) &lt;= 0, "Tak", "Nie")</f>
        <v>Tak</v>
      </c>
    </row>
    <row r="57" spans="1:30" ht="78.599999999999994" customHeight="1" x14ac:dyDescent="0.25">
      <c r="A57" s="5" t="s">
        <v>136</v>
      </c>
      <c r="B57" s="6" t="s">
        <v>137</v>
      </c>
      <c r="C57" s="19" t="str">
        <f>IF(IF(ISNUMBER(VLOOKUP("9.4",A2:AD112,3,FALSE)),ROUND(VLOOKUP("9.4",A2:AD112,3,FALSE),4),0) - IF(ISNUMBER(VLOOKUP("9.6.1",A2:AD112,3,FALSE)),ROUND(VLOOKUP("9.6.1",A2:AD112,3,FALSE),4),0) &lt;= 0, "Tak", "Nie")</f>
        <v>Tak</v>
      </c>
      <c r="D57" s="19" t="str">
        <f>IF(IF(ISNUMBER(VLOOKUP("9.4",A2:AD112,4,FALSE)),ROUND(VLOOKUP("9.4",A2:AD112,4,FALSE),4),0) - IF(ISNUMBER(VLOOKUP("9.6.1",A2:AD112,4,FALSE)),ROUND(VLOOKUP("9.6.1",A2:AD112,4,FALSE),4),0) &lt;= 0, "Tak", "Nie")</f>
        <v>Tak</v>
      </c>
      <c r="E57" s="19" t="str">
        <f>IF(IF(ISNUMBER(VLOOKUP("9.4",A2:AD112,5,FALSE)),ROUND(VLOOKUP("9.4",A2:AD112,5,FALSE),4),0) - IF(ISNUMBER(VLOOKUP("9.6.1",A2:AD112,5,FALSE)),ROUND(VLOOKUP("9.6.1",A2:AD112,5,FALSE),4),0) &lt;= 0, "Tak", "Nie")</f>
        <v>Tak</v>
      </c>
      <c r="F57" s="19" t="str">
        <f>IF(IF(ISNUMBER(VLOOKUP("9.4",A2:AD112,6,FALSE)),ROUND(VLOOKUP("9.4",A2:AD112,6,FALSE),4),0) - IF(ISNUMBER(VLOOKUP("9.6.1",A2:AD112,6,FALSE)),ROUND(VLOOKUP("9.6.1",A2:AD112,6,FALSE),4),0) &lt;= 0, "Tak", "Nie")</f>
        <v>Tak</v>
      </c>
      <c r="G57" s="19" t="str">
        <f>IF(IF(ISNUMBER(VLOOKUP("9.4",A2:AD112,7,FALSE)),ROUND(VLOOKUP("9.4",A2:AD112,7,FALSE),4),0) - IF(ISNUMBER(VLOOKUP("9.6.1",A2:AD112,7,FALSE)),ROUND(VLOOKUP("9.6.1",A2:AD112,7,FALSE),4),0) &lt;= 0, "Tak", "Nie")</f>
        <v>Tak</v>
      </c>
      <c r="H57" s="19" t="str">
        <f>IF(IF(ISNUMBER(VLOOKUP("9.4",A2:AD112,8,FALSE)),ROUND(VLOOKUP("9.4",A2:AD112,8,FALSE),4),0) - IF(ISNUMBER(VLOOKUP("9.6.1",A2:AD112,8,FALSE)),ROUND(VLOOKUP("9.6.1",A2:AD112,8,FALSE),4),0) &lt;= 0, "Tak", "Nie")</f>
        <v>Tak</v>
      </c>
      <c r="I57" s="19" t="str">
        <f>IF(IF(ISNUMBER(VLOOKUP("9.4",A2:AD112,9,FALSE)),ROUND(VLOOKUP("9.4",A2:AD112,9,FALSE),4),0) - IF(ISNUMBER(VLOOKUP("9.6.1",A2:AD112,9,FALSE)),ROUND(VLOOKUP("9.6.1",A2:AD112,9,FALSE),4),0) &lt;= 0, "Tak", "Nie")</f>
        <v>Tak</v>
      </c>
      <c r="J57" s="19" t="str">
        <f>IF(IF(ISNUMBER(VLOOKUP("9.4",A2:AD112,10,FALSE)),ROUND(VLOOKUP("9.4",A2:AD112,10,FALSE),4),0) - IF(ISNUMBER(VLOOKUP("9.6.1",A2:AD112,10,FALSE)),ROUND(VLOOKUP("9.6.1",A2:AD112,10,FALSE),4),0) &lt;= 0, "Tak", "Nie")</f>
        <v>Tak</v>
      </c>
      <c r="K57" s="19" t="str">
        <f>IF(IF(ISNUMBER(VLOOKUP("9.4",A2:AD112,11,FALSE)),ROUND(VLOOKUP("9.4",A2:AD112,11,FALSE),4),0) - IF(ISNUMBER(VLOOKUP("9.6.1",A2:AD112,11,FALSE)),ROUND(VLOOKUP("9.6.1",A2:AD112,11,FALSE),4),0) &lt;= 0, "Tak", "Nie")</f>
        <v>Tak</v>
      </c>
      <c r="L57" s="19" t="str">
        <f>IF(IF(ISNUMBER(VLOOKUP("9.4",A2:AD112,12,FALSE)),ROUND(VLOOKUP("9.4",A2:AD112,12,FALSE),4),0) - IF(ISNUMBER(VLOOKUP("9.6.1",A2:AD112,12,FALSE)),ROUND(VLOOKUP("9.6.1",A2:AD112,12,FALSE),4),0) &lt;= 0, "Tak", "Nie")</f>
        <v>Tak</v>
      </c>
      <c r="M57" s="19" t="str">
        <f>IF(IF(ISNUMBER(VLOOKUP("9.4",A2:AD112,13,FALSE)),ROUND(VLOOKUP("9.4",A2:AD112,13,FALSE),4),0) - IF(ISNUMBER(VLOOKUP("9.6.1",A2:AD112,13,FALSE)),ROUND(VLOOKUP("9.6.1",A2:AD112,13,FALSE),4),0) &lt;= 0, "Tak", "Nie")</f>
        <v>Tak</v>
      </c>
      <c r="N57" s="19" t="str">
        <f>IF(IF(ISNUMBER(VLOOKUP("9.4",A2:AD112,14,FALSE)),ROUND(VLOOKUP("9.4",A2:AD112,14,FALSE),4),0) - IF(ISNUMBER(VLOOKUP("9.6.1",A2:AD112,14,FALSE)),ROUND(VLOOKUP("9.6.1",A2:AD112,14,FALSE),4),0) &lt;= 0, "Tak", "Nie")</f>
        <v>Tak</v>
      </c>
      <c r="O57" s="19" t="str">
        <f>IF(IF(ISNUMBER(VLOOKUP("9.4",A2:AD112,15,FALSE)),ROUND(VLOOKUP("9.4",A2:AD112,15,FALSE),4),0) - IF(ISNUMBER(VLOOKUP("9.6.1",A2:AD112,15,FALSE)),ROUND(VLOOKUP("9.6.1",A2:AD112,15,FALSE),4),0) &lt;= 0, "Tak", "Nie")</f>
        <v>Tak</v>
      </c>
      <c r="P57" s="19" t="str">
        <f>IF(IF(ISNUMBER(VLOOKUP("9.4",A2:AD112,16,FALSE)),ROUND(VLOOKUP("9.4",A2:AD112,16,FALSE),4),0) - IF(ISNUMBER(VLOOKUP("9.6.1",A2:AD112,16,FALSE)),ROUND(VLOOKUP("9.6.1",A2:AD112,16,FALSE),4),0) &lt;= 0, "Tak", "Nie")</f>
        <v>Tak</v>
      </c>
      <c r="Q57" s="19" t="str">
        <f>IF(IF(ISNUMBER(VLOOKUP("9.4",A2:AD112,17,FALSE)),ROUND(VLOOKUP("9.4",A2:AD112,17,FALSE),4),0) - IF(ISNUMBER(VLOOKUP("9.6.1",A2:AD112,17,FALSE)),ROUND(VLOOKUP("9.6.1",A2:AD112,17,FALSE),4),0) &lt;= 0, "Tak", "Nie")</f>
        <v>Tak</v>
      </c>
      <c r="R57" s="19" t="str">
        <f>IF(IF(ISNUMBER(VLOOKUP("9.4",A2:AD112,18,FALSE)),ROUND(VLOOKUP("9.4",A2:AD112,18,FALSE),4),0) - IF(ISNUMBER(VLOOKUP("9.6.1",A2:AD112,18,FALSE)),ROUND(VLOOKUP("9.6.1",A2:AD112,18,FALSE),4),0) &lt;= 0, "Tak", "Nie")</f>
        <v>Tak</v>
      </c>
      <c r="S57" s="19" t="str">
        <f>IF(IF(ISNUMBER(VLOOKUP("9.4",A2:AD112,19,FALSE)),ROUND(VLOOKUP("9.4",A2:AD112,19,FALSE),4),0) - IF(ISNUMBER(VLOOKUP("9.6.1",A2:AD112,19,FALSE)),ROUND(VLOOKUP("9.6.1",A2:AD112,19,FALSE),4),0) &lt;= 0, "Tak", "Nie")</f>
        <v>Tak</v>
      </c>
      <c r="T57" s="19" t="str">
        <f>IF(IF(ISNUMBER(VLOOKUP("9.4",A2:AD112,20,FALSE)),ROUND(VLOOKUP("9.4",A2:AD112,20,FALSE),4),0) - IF(ISNUMBER(VLOOKUP("9.6.1",A2:AD112,20,FALSE)),ROUND(VLOOKUP("9.6.1",A2:AD112,20,FALSE),4),0) &lt;= 0, "Tak", "Nie")</f>
        <v>Tak</v>
      </c>
      <c r="U57" s="19" t="str">
        <f>IF(IF(ISNUMBER(VLOOKUP("9.4",A2:AD112,21,FALSE)),ROUND(VLOOKUP("9.4",A2:AD112,21,FALSE),4),0) - IF(ISNUMBER(VLOOKUP("9.6.1",A2:AD112,21,FALSE)),ROUND(VLOOKUP("9.6.1",A2:AD112,21,FALSE),4),0) &lt;= 0, "Tak", "Nie")</f>
        <v>Tak</v>
      </c>
      <c r="V57" s="19" t="str">
        <f>IF(IF(ISNUMBER(VLOOKUP("9.4",A2:AD112,22,FALSE)),ROUND(VLOOKUP("9.4",A2:AD112,22,FALSE),4),0) - IF(ISNUMBER(VLOOKUP("9.6.1",A2:AD112,22,FALSE)),ROUND(VLOOKUP("9.6.1",A2:AD112,22,FALSE),4),0) &lt;= 0, "Tak", "Nie")</f>
        <v>Tak</v>
      </c>
      <c r="W57" s="19" t="str">
        <f>IF(IF(ISNUMBER(VLOOKUP("9.4",A2:AD112,23,FALSE)),ROUND(VLOOKUP("9.4",A2:AD112,23,FALSE),4),0) - IF(ISNUMBER(VLOOKUP("9.6.1",A2:AD112,23,FALSE)),ROUND(VLOOKUP("9.6.1",A2:AD112,23,FALSE),4),0) &lt;= 0, "Tak", "Nie")</f>
        <v>Tak</v>
      </c>
      <c r="X57" s="19" t="str">
        <f>IF(IF(ISNUMBER(VLOOKUP("9.4",A2:AD112,24,FALSE)),ROUND(VLOOKUP("9.4",A2:AD112,24,FALSE),4),0) - IF(ISNUMBER(VLOOKUP("9.6.1",A2:AD112,24,FALSE)),ROUND(VLOOKUP("9.6.1",A2:AD112,24,FALSE),4),0) &lt;= 0, "Tak", "Nie")</f>
        <v>Tak</v>
      </c>
      <c r="Y57" s="19" t="str">
        <f>IF(IF(ISNUMBER(VLOOKUP("9.4",A2:AD112,25,FALSE)),ROUND(VLOOKUP("9.4",A2:AD112,25,FALSE),4),0) - IF(ISNUMBER(VLOOKUP("9.6.1",A2:AD112,25,FALSE)),ROUND(VLOOKUP("9.6.1",A2:AD112,25,FALSE),4),0) &lt;= 0, "Tak", "Nie")</f>
        <v>Tak</v>
      </c>
      <c r="Z57" s="19" t="str">
        <f>IF(IF(ISNUMBER(VLOOKUP("9.4",A2:AD112,26,FALSE)),ROUND(VLOOKUP("9.4",A2:AD112,26,FALSE),4),0) - IF(ISNUMBER(VLOOKUP("9.6.1",A2:AD112,26,FALSE)),ROUND(VLOOKUP("9.6.1",A2:AD112,26,FALSE),4),0) &lt;= 0, "Tak", "Nie")</f>
        <v>Tak</v>
      </c>
      <c r="AA57" s="19" t="str">
        <f>IF(IF(ISNUMBER(VLOOKUP("9.4",A2:AD112,27,FALSE)),ROUND(VLOOKUP("9.4",A2:AD112,27,FALSE),4),0) - IF(ISNUMBER(VLOOKUP("9.6.1",A2:AD112,27,FALSE)),ROUND(VLOOKUP("9.6.1",A2:AD112,27,FALSE),4),0) &lt;= 0, "Tak", "Nie")</f>
        <v>Tak</v>
      </c>
      <c r="AB57" s="19" t="str">
        <f>IF(IF(ISNUMBER(VLOOKUP("9.4",A2:AD112,28,FALSE)),ROUND(VLOOKUP("9.4",A2:AD112,28,FALSE),4),0) - IF(ISNUMBER(VLOOKUP("9.6.1",A2:AD112,28,FALSE)),ROUND(VLOOKUP("9.6.1",A2:AD112,28,FALSE),4),0) &lt;= 0, "Tak", "Nie")</f>
        <v>Tak</v>
      </c>
      <c r="AC57" s="19" t="str">
        <f>IF(IF(ISNUMBER(VLOOKUP("9.4",A2:AD112,29,FALSE)),ROUND(VLOOKUP("9.4",A2:AD112,29,FALSE),4),0) - IF(ISNUMBER(VLOOKUP("9.6.1",A2:AD112,29,FALSE)),ROUND(VLOOKUP("9.6.1",A2:AD112,29,FALSE),4),0) &lt;= 0, "Tak", "Nie")</f>
        <v>Tak</v>
      </c>
      <c r="AD57" s="19" t="str">
        <f>IF(IF(ISNUMBER(VLOOKUP("9.4",A2:AD112,30,FALSE)),ROUND(VLOOKUP("9.4",A2:AD112,30,FALSE),4),0) - IF(ISNUMBER(VLOOKUP("9.6.1",A2:AD112,30,FALSE)),ROUND(VLOOKUP("9.6.1",A2:AD112,30,FALSE),4),0) &lt;= 0, "Tak", "Nie")</f>
        <v>Tak</v>
      </c>
    </row>
    <row r="58" spans="1:30" ht="27" customHeight="1" x14ac:dyDescent="0.25">
      <c r="A58" s="2" t="s">
        <v>138</v>
      </c>
      <c r="B58" s="3" t="s">
        <v>139</v>
      </c>
      <c r="C58" s="4">
        <f>IF(IF(ISNUMBER(VLOOKUP("3",A2:AD112,3,FALSE)),ROUND(VLOOKUP("3",A2:AD112,3,FALSE),4),0)&gt;0,IF(ISNUMBER(VLOOKUP("3",A2:AD112,3,FALSE)),ROUND(VLOOKUP("3",A2:AD112,3,FALSE),4),0),0)</f>
        <v>0</v>
      </c>
      <c r="D58" s="4">
        <f>IF(IF(ISNUMBER(VLOOKUP("3",A2:AD112,4,FALSE)),ROUND(VLOOKUP("3",A2:AD112,4,FALSE),4),0)&gt;0,IF(ISNUMBER(VLOOKUP("3",A2:AD112,4,FALSE)),ROUND(VLOOKUP("3",A2:AD112,4,FALSE),4),0),0)</f>
        <v>0</v>
      </c>
      <c r="E58" s="4">
        <f>IF(IF(ISNUMBER(VLOOKUP("3",A2:AD112,5,FALSE)),ROUND(VLOOKUP("3",A2:AD112,5,FALSE),4),0)&gt;0,IF(ISNUMBER(VLOOKUP("3",A2:AD112,5,FALSE)),ROUND(VLOOKUP("3",A2:AD112,5,FALSE),4),0),0)</f>
        <v>0</v>
      </c>
      <c r="F58" s="4">
        <f>IF(IF(ISNUMBER(VLOOKUP("3",A2:AD112,6,FALSE)),ROUND(VLOOKUP("3",A2:AD112,6,FALSE),4),0)&gt;0,IF(ISNUMBER(VLOOKUP("3",A2:AD112,6,FALSE)),ROUND(VLOOKUP("3",A2:AD112,6,FALSE),4),0),0)</f>
        <v>0</v>
      </c>
      <c r="G58" s="4">
        <f>IF(IF(ISNUMBER(VLOOKUP("3",A2:AD112,7,FALSE)),ROUND(VLOOKUP("3",A2:AD112,7,FALSE),4),0)&gt;0,IF(ISNUMBER(VLOOKUP("3",A2:AD112,7,FALSE)),ROUND(VLOOKUP("3",A2:AD112,7,FALSE),4),0),0)</f>
        <v>0</v>
      </c>
      <c r="H58" s="4">
        <f>IF(IF(ISNUMBER(VLOOKUP("3",A2:AD112,8,FALSE)),ROUND(VLOOKUP("3",A2:AD112,8,FALSE),4),0)&gt;0,IF(ISNUMBER(VLOOKUP("3",A2:AD112,8,FALSE)),ROUND(VLOOKUP("3",A2:AD112,8,FALSE),4),0),0)</f>
        <v>0</v>
      </c>
      <c r="I58" s="4">
        <f>IF(IF(ISNUMBER(VLOOKUP("3",A2:AD112,9,FALSE)),ROUND(VLOOKUP("3",A2:AD112,9,FALSE),4),0)&gt;0,IF(ISNUMBER(VLOOKUP("3",A2:AD112,9,FALSE)),ROUND(VLOOKUP("3",A2:AD112,9,FALSE),4),0),0)</f>
        <v>0</v>
      </c>
      <c r="J58" s="4">
        <f>IF(IF(ISNUMBER(VLOOKUP("3",A2:AD112,10,FALSE)),ROUND(VLOOKUP("3",A2:AD112,10,FALSE),4),0)&gt;0,IF(ISNUMBER(VLOOKUP("3",A2:AD112,10,FALSE)),ROUND(VLOOKUP("3",A2:AD112,10,FALSE),4),0),0)</f>
        <v>0</v>
      </c>
      <c r="K58" s="4">
        <f>IF(IF(ISNUMBER(VLOOKUP("3",A2:AD112,11,FALSE)),ROUND(VLOOKUP("3",A2:AD112,11,FALSE),4),0)&gt;0,IF(ISNUMBER(VLOOKUP("3",A2:AD112,11,FALSE)),ROUND(VLOOKUP("3",A2:AD112,11,FALSE),4),0),0)</f>
        <v>2135985.46</v>
      </c>
      <c r="L58" s="4">
        <f>IF(IF(ISNUMBER(VLOOKUP("3",A2:AD112,12,FALSE)),ROUND(VLOOKUP("3",A2:AD112,12,FALSE),4),0)&gt;0,IF(ISNUMBER(VLOOKUP("3",A2:AD112,12,FALSE)),ROUND(VLOOKUP("3",A2:AD112,12,FALSE),4),0),0)</f>
        <v>2794860</v>
      </c>
      <c r="M58" s="4">
        <f>IF(IF(ISNUMBER(VLOOKUP("3",A2:AD112,13,FALSE)),ROUND(VLOOKUP("3",A2:AD112,13,FALSE),4),0)&gt;0,IF(ISNUMBER(VLOOKUP("3",A2:AD112,13,FALSE)),ROUND(VLOOKUP("3",A2:AD112,13,FALSE),4),0),0)</f>
        <v>3869860</v>
      </c>
      <c r="N58" s="4">
        <f>IF(IF(ISNUMBER(VLOOKUP("3",A2:AD112,14,FALSE)),ROUND(VLOOKUP("3",A2:AD112,14,FALSE),4),0)&gt;0,IF(ISNUMBER(VLOOKUP("3",A2:AD112,14,FALSE)),ROUND(VLOOKUP("3",A2:AD112,14,FALSE),4),0),0)</f>
        <v>4082770</v>
      </c>
      <c r="O58" s="4">
        <f>IF(IF(ISNUMBER(VLOOKUP("3",A2:AD112,15,FALSE)),ROUND(VLOOKUP("3",A2:AD112,15,FALSE),4),0)&gt;0,IF(ISNUMBER(VLOOKUP("3",A2:AD112,15,FALSE)),ROUND(VLOOKUP("3",A2:AD112,15,FALSE),4),0),0)</f>
        <v>4182770</v>
      </c>
      <c r="P58" s="4">
        <f>IF(IF(ISNUMBER(VLOOKUP("3",A2:AD112,16,FALSE)),ROUND(VLOOKUP("3",A2:AD112,16,FALSE),4),0)&gt;0,IF(ISNUMBER(VLOOKUP("3",A2:AD112,16,FALSE)),ROUND(VLOOKUP("3",A2:AD112,16,FALSE),4),0),0)</f>
        <v>4258192.5</v>
      </c>
      <c r="Q58" s="4">
        <f>IF(IF(ISNUMBER(VLOOKUP("3",A2:AD112,17,FALSE)),ROUND(VLOOKUP("3",A2:AD112,17,FALSE),4),0)&gt;0,IF(ISNUMBER(VLOOKUP("3",A2:AD112,17,FALSE)),ROUND(VLOOKUP("3",A2:AD112,17,FALSE),4),0),0)</f>
        <v>5935850.8700000001</v>
      </c>
      <c r="R58" s="4">
        <f>IF(IF(ISNUMBER(VLOOKUP("3",A2:AD112,18,FALSE)),ROUND(VLOOKUP("3",A2:AD112,18,FALSE),4),0)&gt;0,IF(ISNUMBER(VLOOKUP("3",A2:AD112,18,FALSE)),ROUND(VLOOKUP("3",A2:AD112,18,FALSE),4),0),0)</f>
        <v>4880000</v>
      </c>
      <c r="S58" s="4">
        <f>IF(IF(ISNUMBER(VLOOKUP("3",A2:AD112,19,FALSE)),ROUND(VLOOKUP("3",A2:AD112,19,FALSE),4),0)&gt;0,IF(ISNUMBER(VLOOKUP("3",A2:AD112,19,FALSE)),ROUND(VLOOKUP("3",A2:AD112,19,FALSE),4),0),0)</f>
        <v>4353125.03</v>
      </c>
      <c r="T58" s="4">
        <f>IF(IF(ISNUMBER(VLOOKUP("3",A2:AD112,20,FALSE)),ROUND(VLOOKUP("3",A2:AD112,20,FALSE),4),0)&gt;0,IF(ISNUMBER(VLOOKUP("3",A2:AD112,20,FALSE)),ROUND(VLOOKUP("3",A2:AD112,20,FALSE),4),0),0)</f>
        <v>3950000</v>
      </c>
      <c r="U58" s="4">
        <f>IF(IF(ISNUMBER(VLOOKUP("3",A2:AD112,21,FALSE)),ROUND(VLOOKUP("3",A2:AD112,21,FALSE),4),0)&gt;0,IF(ISNUMBER(VLOOKUP("3",A2:AD112,21,FALSE)),ROUND(VLOOKUP("3",A2:AD112,21,FALSE),4),0),0)</f>
        <v>4021000</v>
      </c>
      <c r="V58" s="4">
        <f>IF(IF(ISNUMBER(VLOOKUP("3",A2:AD112,22,FALSE)),ROUND(VLOOKUP("3",A2:AD112,22,FALSE),4),0)&gt;0,IF(ISNUMBER(VLOOKUP("3",A2:AD112,22,FALSE)),ROUND(VLOOKUP("3",A2:AD112,22,FALSE),4),0),0)</f>
        <v>3450000</v>
      </c>
      <c r="W58" s="4">
        <f>IF(IF(ISNUMBER(VLOOKUP("3",A2:AD112,23,FALSE)),ROUND(VLOOKUP("3",A2:AD112,23,FALSE),4),0)&gt;0,IF(ISNUMBER(VLOOKUP("3",A2:AD112,23,FALSE)),ROUND(VLOOKUP("3",A2:AD112,23,FALSE),4),0),0)</f>
        <v>3072553.49</v>
      </c>
      <c r="X58" s="4">
        <f>IF(IF(ISNUMBER(VLOOKUP("3",A2:AD112,24,FALSE)),ROUND(VLOOKUP("3",A2:AD112,24,FALSE),4),0)&gt;0,IF(ISNUMBER(VLOOKUP("3",A2:AD112,24,FALSE)),ROUND(VLOOKUP("3",A2:AD112,24,FALSE),4),0),0)</f>
        <v>2200000</v>
      </c>
      <c r="Y58" s="4">
        <f>IF(IF(ISNUMBER(VLOOKUP("3",A2:AD112,25,FALSE)),ROUND(VLOOKUP("3",A2:AD112,25,FALSE),4),0)&gt;0,IF(ISNUMBER(VLOOKUP("3",A2:AD112,25,FALSE)),ROUND(VLOOKUP("3",A2:AD112,25,FALSE),4),0),0)</f>
        <v>2200000</v>
      </c>
      <c r="Z58" s="4">
        <f>IF(IF(ISNUMBER(VLOOKUP("3",A2:AD112,26,FALSE)),ROUND(VLOOKUP("3",A2:AD112,26,FALSE),4),0)&gt;0,IF(ISNUMBER(VLOOKUP("3",A2:AD112,26,FALSE)),ROUND(VLOOKUP("3",A2:AD112,26,FALSE),4),0),0)</f>
        <v>2200000</v>
      </c>
      <c r="AA58" s="4">
        <f>IF(IF(ISNUMBER(VLOOKUP("3",A2:AD112,27,FALSE)),ROUND(VLOOKUP("3",A2:AD112,27,FALSE),4),0)&gt;0,IF(ISNUMBER(VLOOKUP("3",A2:AD112,27,FALSE)),ROUND(VLOOKUP("3",A2:AD112,27,FALSE),4),0),0)</f>
        <v>2400000</v>
      </c>
      <c r="AB58" s="4">
        <f>IF(IF(ISNUMBER(VLOOKUP("3",A2:AD112,28,FALSE)),ROUND(VLOOKUP("3",A2:AD112,28,FALSE),4),0)&gt;0,IF(ISNUMBER(VLOOKUP("3",A2:AD112,28,FALSE)),ROUND(VLOOKUP("3",A2:AD112,28,FALSE),4),0),0)</f>
        <v>2450000</v>
      </c>
      <c r="AC58" s="4">
        <f>IF(IF(ISNUMBER(VLOOKUP("3",A2:AD112,29,FALSE)),ROUND(VLOOKUP("3",A2:AD112,29,FALSE),4),0)&gt;0,IF(ISNUMBER(VLOOKUP("3",A2:AD112,29,FALSE)),ROUND(VLOOKUP("3",A2:AD112,29,FALSE),4),0),0)</f>
        <v>2600000</v>
      </c>
      <c r="AD58" s="4">
        <f>IF(IF(ISNUMBER(VLOOKUP("3",A2:AD112,30,FALSE)),ROUND(VLOOKUP("3",A2:AD112,30,FALSE),4),0)&gt;0,IF(ISNUMBER(VLOOKUP("3",A2:AD112,30,FALSE)),ROUND(VLOOKUP("3",A2:AD112,30,FALSE),4),0),0)</f>
        <v>1975000</v>
      </c>
    </row>
    <row r="59" spans="1:30" ht="14.25" customHeight="1" x14ac:dyDescent="0.25">
      <c r="A59" s="5" t="s">
        <v>140</v>
      </c>
      <c r="B59" s="6" t="s">
        <v>141</v>
      </c>
      <c r="C59" s="9">
        <f>IF(IF(ISNUMBER(VLOOKUP("3",A2:AD112,3,FALSE)),ROUND(VLOOKUP("3",A2:AD112,3,FALSE),4),0)&gt;0,IF(IF(ISNUMBER(VLOOKUP("3",A2:AD112,3,FALSE)),ROUND(VLOOKUP("3",A2:AD112,3,FALSE),4),0)&gt;IF(ISNUMBER(VLOOKUP("5.1",A2:AD112,3,FALSE)),ROUND(VLOOKUP("5.1",A2:AD112,3,FALSE),4),0),IF(ISNUMBER(VLOOKUP("5.1",A2:AD112,3,FALSE)),ROUND(VLOOKUP("5.1",A2:AD112,3,FALSE),4),0),IF(ISNUMBER(VLOOKUP("3",A2:AD112,3,FALSE)),ROUND(VLOOKUP("3",A2:AD112,3,FALSE),4),0)),0)</f>
        <v>0</v>
      </c>
      <c r="D59" s="9">
        <f>IF(IF(ISNUMBER(VLOOKUP("3",A2:AD112,4,FALSE)),ROUND(VLOOKUP("3",A2:AD112,4,FALSE),4),0)&gt;0,IF(IF(ISNUMBER(VLOOKUP("3",A2:AD112,4,FALSE)),ROUND(VLOOKUP("3",A2:AD112,4,FALSE),4),0)&gt;IF(ISNUMBER(VLOOKUP("5.1",A2:AD112,4,FALSE)),ROUND(VLOOKUP("5.1",A2:AD112,4,FALSE),4),0),IF(ISNUMBER(VLOOKUP("5.1",A2:AD112,4,FALSE)),ROUND(VLOOKUP("5.1",A2:AD112,4,FALSE),4),0),IF(ISNUMBER(VLOOKUP("3",A2:AD112,4,FALSE)),ROUND(VLOOKUP("3",A2:AD112,4,FALSE),4),0)),0)</f>
        <v>0</v>
      </c>
      <c r="E59" s="9">
        <f>IF(IF(ISNUMBER(VLOOKUP("3",A2:AD112,5,FALSE)),ROUND(VLOOKUP("3",A2:AD112,5,FALSE),4),0)&gt;0,IF(IF(ISNUMBER(VLOOKUP("3",A2:AD112,5,FALSE)),ROUND(VLOOKUP("3",A2:AD112,5,FALSE),4),0)&gt;IF(ISNUMBER(VLOOKUP("5.1",A2:AD112,5,FALSE)),ROUND(VLOOKUP("5.1",A2:AD112,5,FALSE),4),0),IF(ISNUMBER(VLOOKUP("5.1",A2:AD112,5,FALSE)),ROUND(VLOOKUP("5.1",A2:AD112,5,FALSE),4),0),IF(ISNUMBER(VLOOKUP("3",A2:AD112,5,FALSE)),ROUND(VLOOKUP("3",A2:AD112,5,FALSE),4),0)),0)</f>
        <v>0</v>
      </c>
      <c r="F59" s="9">
        <f>IF(IF(ISNUMBER(VLOOKUP("3",A2:AD112,6,FALSE)),ROUND(VLOOKUP("3",A2:AD112,6,FALSE),4),0)&gt;0,IF(IF(ISNUMBER(VLOOKUP("3",A2:AD112,6,FALSE)),ROUND(VLOOKUP("3",A2:AD112,6,FALSE),4),0)&gt;IF(ISNUMBER(VLOOKUP("5.1",A2:AD112,6,FALSE)),ROUND(VLOOKUP("5.1",A2:AD112,6,FALSE),4),0),IF(ISNUMBER(VLOOKUP("5.1",A2:AD112,6,FALSE)),ROUND(VLOOKUP("5.1",A2:AD112,6,FALSE),4),0),IF(ISNUMBER(VLOOKUP("3",A2:AD112,6,FALSE)),ROUND(VLOOKUP("3",A2:AD112,6,FALSE),4),0)),0)</f>
        <v>0</v>
      </c>
      <c r="G59" s="9">
        <f>IF(IF(ISNUMBER(VLOOKUP("3",A2:AD112,7,FALSE)),ROUND(VLOOKUP("3",A2:AD112,7,FALSE),4),0)&gt;0,IF(IF(ISNUMBER(VLOOKUP("3",A2:AD112,7,FALSE)),ROUND(VLOOKUP("3",A2:AD112,7,FALSE),4),0)&gt;IF(ISNUMBER(VLOOKUP("5.1",A2:AD112,7,FALSE)),ROUND(VLOOKUP("5.1",A2:AD112,7,FALSE),4),0),IF(ISNUMBER(VLOOKUP("5.1",A2:AD112,7,FALSE)),ROUND(VLOOKUP("5.1",A2:AD112,7,FALSE),4),0),IF(ISNUMBER(VLOOKUP("3",A2:AD112,7,FALSE)),ROUND(VLOOKUP("3",A2:AD112,7,FALSE),4),0)),0)</f>
        <v>0</v>
      </c>
      <c r="H59" s="9">
        <f>IF(IF(ISNUMBER(VLOOKUP("3",A2:AD112,8,FALSE)),ROUND(VLOOKUP("3",A2:AD112,8,FALSE),4),0)&gt;0,IF(IF(ISNUMBER(VLOOKUP("3",A2:AD112,8,FALSE)),ROUND(VLOOKUP("3",A2:AD112,8,FALSE),4),0)&gt;IF(ISNUMBER(VLOOKUP("5.1",A2:AD112,8,FALSE)),ROUND(VLOOKUP("5.1",A2:AD112,8,FALSE),4),0),IF(ISNUMBER(VLOOKUP("5.1",A2:AD112,8,FALSE)),ROUND(VLOOKUP("5.1",A2:AD112,8,FALSE),4),0),IF(ISNUMBER(VLOOKUP("3",A2:AD112,8,FALSE)),ROUND(VLOOKUP("3",A2:AD112,8,FALSE),4),0)),0)</f>
        <v>0</v>
      </c>
      <c r="I59" s="9">
        <f>IF(IF(ISNUMBER(VLOOKUP("3",A2:AD112,9,FALSE)),ROUND(VLOOKUP("3",A2:AD112,9,FALSE),4),0)&gt;0,IF(IF(ISNUMBER(VLOOKUP("3",A2:AD112,9,FALSE)),ROUND(VLOOKUP("3",A2:AD112,9,FALSE),4),0)&gt;IF(ISNUMBER(VLOOKUP("5.1",A2:AD112,9,FALSE)),ROUND(VLOOKUP("5.1",A2:AD112,9,FALSE),4),0),IF(ISNUMBER(VLOOKUP("5.1",A2:AD112,9,FALSE)),ROUND(VLOOKUP("5.1",A2:AD112,9,FALSE),4),0),IF(ISNUMBER(VLOOKUP("3",A2:AD112,9,FALSE)),ROUND(VLOOKUP("3",A2:AD112,9,FALSE),4),0)),0)</f>
        <v>0</v>
      </c>
      <c r="J59" s="9">
        <f>IF(IF(ISNUMBER(VLOOKUP("3",A2:AD112,10,FALSE)),ROUND(VLOOKUP("3",A2:AD112,10,FALSE),4),0)&gt;0,IF(IF(ISNUMBER(VLOOKUP("3",A2:AD112,10,FALSE)),ROUND(VLOOKUP("3",A2:AD112,10,FALSE),4),0)&gt;IF(ISNUMBER(VLOOKUP("5.1",A2:AD112,10,FALSE)),ROUND(VLOOKUP("5.1",A2:AD112,10,FALSE),4),0),IF(ISNUMBER(VLOOKUP("5.1",A2:AD112,10,FALSE)),ROUND(VLOOKUP("5.1",A2:AD112,10,FALSE),4),0),IF(ISNUMBER(VLOOKUP("3",A2:AD112,10,FALSE)),ROUND(VLOOKUP("3",A2:AD112,10,FALSE),4),0)),0)</f>
        <v>0</v>
      </c>
      <c r="K59" s="9">
        <f>IF(IF(ISNUMBER(VLOOKUP("3",A2:AD112,11,FALSE)),ROUND(VLOOKUP("3",A2:AD112,11,FALSE),4),0)&gt;0,IF(IF(ISNUMBER(VLOOKUP("3",A2:AD112,11,FALSE)),ROUND(VLOOKUP("3",A2:AD112,11,FALSE),4),0)&gt;IF(ISNUMBER(VLOOKUP("5.1",A2:AD112,11,FALSE)),ROUND(VLOOKUP("5.1",A2:AD112,11,FALSE),4),0),IF(ISNUMBER(VLOOKUP("5.1",A2:AD112,11,FALSE)),ROUND(VLOOKUP("5.1",A2:AD112,11,FALSE),4),0),IF(ISNUMBER(VLOOKUP("3",A2:AD112,11,FALSE)),ROUND(VLOOKUP("3",A2:AD112,11,FALSE),4),0)),0)</f>
        <v>2135985.46</v>
      </c>
      <c r="L59" s="9">
        <f>IF(IF(ISNUMBER(VLOOKUP("3",A2:AD112,12,FALSE)),ROUND(VLOOKUP("3",A2:AD112,12,FALSE),4),0)&gt;0,IF(IF(ISNUMBER(VLOOKUP("3",A2:AD112,12,FALSE)),ROUND(VLOOKUP("3",A2:AD112,12,FALSE),4),0)&gt;IF(ISNUMBER(VLOOKUP("5.1",A2:AD112,12,FALSE)),ROUND(VLOOKUP("5.1",A2:AD112,12,FALSE),4),0),IF(ISNUMBER(VLOOKUP("5.1",A2:AD112,12,FALSE)),ROUND(VLOOKUP("5.1",A2:AD112,12,FALSE),4),0),IF(ISNUMBER(VLOOKUP("3",A2:AD112,12,FALSE)),ROUND(VLOOKUP("3",A2:AD112,12,FALSE),4),0)),0)</f>
        <v>2794860</v>
      </c>
      <c r="M59" s="9">
        <f>IF(IF(ISNUMBER(VLOOKUP("3",A2:AD112,13,FALSE)),ROUND(VLOOKUP("3",A2:AD112,13,FALSE),4),0)&gt;0,IF(IF(ISNUMBER(VLOOKUP("3",A2:AD112,13,FALSE)),ROUND(VLOOKUP("3",A2:AD112,13,FALSE),4),0)&gt;IF(ISNUMBER(VLOOKUP("5.1",A2:AD112,13,FALSE)),ROUND(VLOOKUP("5.1",A2:AD112,13,FALSE),4),0),IF(ISNUMBER(VLOOKUP("5.1",A2:AD112,13,FALSE)),ROUND(VLOOKUP("5.1",A2:AD112,13,FALSE),4),0),IF(ISNUMBER(VLOOKUP("3",A2:AD112,13,FALSE)),ROUND(VLOOKUP("3",A2:AD112,13,FALSE),4),0)),0)</f>
        <v>3869860</v>
      </c>
      <c r="N59" s="9">
        <f>IF(IF(ISNUMBER(VLOOKUP("3",A2:AD112,14,FALSE)),ROUND(VLOOKUP("3",A2:AD112,14,FALSE),4),0)&gt;0,IF(IF(ISNUMBER(VLOOKUP("3",A2:AD112,14,FALSE)),ROUND(VLOOKUP("3",A2:AD112,14,FALSE),4),0)&gt;IF(ISNUMBER(VLOOKUP("5.1",A2:AD112,14,FALSE)),ROUND(VLOOKUP("5.1",A2:AD112,14,FALSE),4),0),IF(ISNUMBER(VLOOKUP("5.1",A2:AD112,14,FALSE)),ROUND(VLOOKUP("5.1",A2:AD112,14,FALSE),4),0),IF(ISNUMBER(VLOOKUP("3",A2:AD112,14,FALSE)),ROUND(VLOOKUP("3",A2:AD112,14,FALSE),4),0)),0)</f>
        <v>4082770</v>
      </c>
      <c r="O59" s="9">
        <f>IF(IF(ISNUMBER(VLOOKUP("3",A2:AD112,15,FALSE)),ROUND(VLOOKUP("3",A2:AD112,15,FALSE),4),0)&gt;0,IF(IF(ISNUMBER(VLOOKUP("3",A2:AD112,15,FALSE)),ROUND(VLOOKUP("3",A2:AD112,15,FALSE),4),0)&gt;IF(ISNUMBER(VLOOKUP("5.1",A2:AD112,15,FALSE)),ROUND(VLOOKUP("5.1",A2:AD112,15,FALSE),4),0),IF(ISNUMBER(VLOOKUP("5.1",A2:AD112,15,FALSE)),ROUND(VLOOKUP("5.1",A2:AD112,15,FALSE),4),0),IF(ISNUMBER(VLOOKUP("3",A2:AD112,15,FALSE)),ROUND(VLOOKUP("3",A2:AD112,15,FALSE),4),0)),0)</f>
        <v>4182770</v>
      </c>
      <c r="P59" s="9">
        <f>IF(IF(ISNUMBER(VLOOKUP("3",A2:AD112,16,FALSE)),ROUND(VLOOKUP("3",A2:AD112,16,FALSE),4),0)&gt;0,IF(IF(ISNUMBER(VLOOKUP("3",A2:AD112,16,FALSE)),ROUND(VLOOKUP("3",A2:AD112,16,FALSE),4),0)&gt;IF(ISNUMBER(VLOOKUP("5.1",A2:AD112,16,FALSE)),ROUND(VLOOKUP("5.1",A2:AD112,16,FALSE),4),0),IF(ISNUMBER(VLOOKUP("5.1",A2:AD112,16,FALSE)),ROUND(VLOOKUP("5.1",A2:AD112,16,FALSE),4),0),IF(ISNUMBER(VLOOKUP("3",A2:AD112,16,FALSE)),ROUND(VLOOKUP("3",A2:AD112,16,FALSE),4),0)),0)</f>
        <v>4258192.5</v>
      </c>
      <c r="Q59" s="9">
        <f>IF(IF(ISNUMBER(VLOOKUP("3",A2:AD112,17,FALSE)),ROUND(VLOOKUP("3",A2:AD112,17,FALSE),4),0)&gt;0,IF(IF(ISNUMBER(VLOOKUP("3",A2:AD112,17,FALSE)),ROUND(VLOOKUP("3",A2:AD112,17,FALSE),4),0)&gt;IF(ISNUMBER(VLOOKUP("5.1",A2:AD112,17,FALSE)),ROUND(VLOOKUP("5.1",A2:AD112,17,FALSE),4),0),IF(ISNUMBER(VLOOKUP("5.1",A2:AD112,17,FALSE)),ROUND(VLOOKUP("5.1",A2:AD112,17,FALSE),4),0),IF(ISNUMBER(VLOOKUP("3",A2:AD112,17,FALSE)),ROUND(VLOOKUP("3",A2:AD112,17,FALSE),4),0)),0)</f>
        <v>5935850.8700000001</v>
      </c>
      <c r="R59" s="9">
        <f>IF(IF(ISNUMBER(VLOOKUP("3",A2:AD112,18,FALSE)),ROUND(VLOOKUP("3",A2:AD112,18,FALSE),4),0)&gt;0,IF(IF(ISNUMBER(VLOOKUP("3",A2:AD112,18,FALSE)),ROUND(VLOOKUP("3",A2:AD112,18,FALSE),4),0)&gt;IF(ISNUMBER(VLOOKUP("5.1",A2:AD112,18,FALSE)),ROUND(VLOOKUP("5.1",A2:AD112,18,FALSE),4),0),IF(ISNUMBER(VLOOKUP("5.1",A2:AD112,18,FALSE)),ROUND(VLOOKUP("5.1",A2:AD112,18,FALSE),4),0),IF(ISNUMBER(VLOOKUP("3",A2:AD112,18,FALSE)),ROUND(VLOOKUP("3",A2:AD112,18,FALSE),4),0)),0)</f>
        <v>4880000</v>
      </c>
      <c r="S59" s="9">
        <f>IF(IF(ISNUMBER(VLOOKUP("3",A2:AD112,19,FALSE)),ROUND(VLOOKUP("3",A2:AD112,19,FALSE),4),0)&gt;0,IF(IF(ISNUMBER(VLOOKUP("3",A2:AD112,19,FALSE)),ROUND(VLOOKUP("3",A2:AD112,19,FALSE),4),0)&gt;IF(ISNUMBER(VLOOKUP("5.1",A2:AD112,19,FALSE)),ROUND(VLOOKUP("5.1",A2:AD112,19,FALSE),4),0),IF(ISNUMBER(VLOOKUP("5.1",A2:AD112,19,FALSE)),ROUND(VLOOKUP("5.1",A2:AD112,19,FALSE),4),0),IF(ISNUMBER(VLOOKUP("3",A2:AD112,19,FALSE)),ROUND(VLOOKUP("3",A2:AD112,19,FALSE),4),0)),0)</f>
        <v>4353125.03</v>
      </c>
      <c r="T59" s="9">
        <f>IF(IF(ISNUMBER(VLOOKUP("3",A2:AD112,20,FALSE)),ROUND(VLOOKUP("3",A2:AD112,20,FALSE),4),0)&gt;0,IF(IF(ISNUMBER(VLOOKUP("3",A2:AD112,20,FALSE)),ROUND(VLOOKUP("3",A2:AD112,20,FALSE),4),0)&gt;IF(ISNUMBER(VLOOKUP("5.1",A2:AD112,20,FALSE)),ROUND(VLOOKUP("5.1",A2:AD112,20,FALSE),4),0),IF(ISNUMBER(VLOOKUP("5.1",A2:AD112,20,FALSE)),ROUND(VLOOKUP("5.1",A2:AD112,20,FALSE),4),0),IF(ISNUMBER(VLOOKUP("3",A2:AD112,20,FALSE)),ROUND(VLOOKUP("3",A2:AD112,20,FALSE),4),0)),0)</f>
        <v>3950000</v>
      </c>
      <c r="U59" s="9">
        <f>IF(IF(ISNUMBER(VLOOKUP("3",A2:AD112,21,FALSE)),ROUND(VLOOKUP("3",A2:AD112,21,FALSE),4),0)&gt;0,IF(IF(ISNUMBER(VLOOKUP("3",A2:AD112,21,FALSE)),ROUND(VLOOKUP("3",A2:AD112,21,FALSE),4),0)&gt;IF(ISNUMBER(VLOOKUP("5.1",A2:AD112,21,FALSE)),ROUND(VLOOKUP("5.1",A2:AD112,21,FALSE),4),0),IF(ISNUMBER(VLOOKUP("5.1",A2:AD112,21,FALSE)),ROUND(VLOOKUP("5.1",A2:AD112,21,FALSE),4),0),IF(ISNUMBER(VLOOKUP("3",A2:AD112,21,FALSE)),ROUND(VLOOKUP("3",A2:AD112,21,FALSE),4),0)),0)</f>
        <v>4021000</v>
      </c>
      <c r="V59" s="9">
        <f>IF(IF(ISNUMBER(VLOOKUP("3",A2:AD112,22,FALSE)),ROUND(VLOOKUP("3",A2:AD112,22,FALSE),4),0)&gt;0,IF(IF(ISNUMBER(VLOOKUP("3",A2:AD112,22,FALSE)),ROUND(VLOOKUP("3",A2:AD112,22,FALSE),4),0)&gt;IF(ISNUMBER(VLOOKUP("5.1",A2:AD112,22,FALSE)),ROUND(VLOOKUP("5.1",A2:AD112,22,FALSE),4),0),IF(ISNUMBER(VLOOKUP("5.1",A2:AD112,22,FALSE)),ROUND(VLOOKUP("5.1",A2:AD112,22,FALSE),4),0),IF(ISNUMBER(VLOOKUP("3",A2:AD112,22,FALSE)),ROUND(VLOOKUP("3",A2:AD112,22,FALSE),4),0)),0)</f>
        <v>3450000</v>
      </c>
      <c r="W59" s="9">
        <f>IF(IF(ISNUMBER(VLOOKUP("3",A2:AD112,23,FALSE)),ROUND(VLOOKUP("3",A2:AD112,23,FALSE),4),0)&gt;0,IF(IF(ISNUMBER(VLOOKUP("3",A2:AD112,23,FALSE)),ROUND(VLOOKUP("3",A2:AD112,23,FALSE),4),0)&gt;IF(ISNUMBER(VLOOKUP("5.1",A2:AD112,23,FALSE)),ROUND(VLOOKUP("5.1",A2:AD112,23,FALSE),4),0),IF(ISNUMBER(VLOOKUP("5.1",A2:AD112,23,FALSE)),ROUND(VLOOKUP("5.1",A2:AD112,23,FALSE),4),0),IF(ISNUMBER(VLOOKUP("3",A2:AD112,23,FALSE)),ROUND(VLOOKUP("3",A2:AD112,23,FALSE),4),0)),0)</f>
        <v>3072553.49</v>
      </c>
      <c r="X59" s="9">
        <f>IF(IF(ISNUMBER(VLOOKUP("3",A2:AD112,24,FALSE)),ROUND(VLOOKUP("3",A2:AD112,24,FALSE),4),0)&gt;0,IF(IF(ISNUMBER(VLOOKUP("3",A2:AD112,24,FALSE)),ROUND(VLOOKUP("3",A2:AD112,24,FALSE),4),0)&gt;IF(ISNUMBER(VLOOKUP("5.1",A2:AD112,24,FALSE)),ROUND(VLOOKUP("5.1",A2:AD112,24,FALSE),4),0),IF(ISNUMBER(VLOOKUP("5.1",A2:AD112,24,FALSE)),ROUND(VLOOKUP("5.1",A2:AD112,24,FALSE),4),0),IF(ISNUMBER(VLOOKUP("3",A2:AD112,24,FALSE)),ROUND(VLOOKUP("3",A2:AD112,24,FALSE),4),0)),0)</f>
        <v>2200000</v>
      </c>
      <c r="Y59" s="9">
        <f>IF(IF(ISNUMBER(VLOOKUP("3",A2:AD112,25,FALSE)),ROUND(VLOOKUP("3",A2:AD112,25,FALSE),4),0)&gt;0,IF(IF(ISNUMBER(VLOOKUP("3",A2:AD112,25,FALSE)),ROUND(VLOOKUP("3",A2:AD112,25,FALSE),4),0)&gt;IF(ISNUMBER(VLOOKUP("5.1",A2:AD112,25,FALSE)),ROUND(VLOOKUP("5.1",A2:AD112,25,FALSE),4),0),IF(ISNUMBER(VLOOKUP("5.1",A2:AD112,25,FALSE)),ROUND(VLOOKUP("5.1",A2:AD112,25,FALSE),4),0),IF(ISNUMBER(VLOOKUP("3",A2:AD112,25,FALSE)),ROUND(VLOOKUP("3",A2:AD112,25,FALSE),4),0)),0)</f>
        <v>2200000</v>
      </c>
      <c r="Z59" s="9">
        <f>IF(IF(ISNUMBER(VLOOKUP("3",A2:AD112,26,FALSE)),ROUND(VLOOKUP("3",A2:AD112,26,FALSE),4),0)&gt;0,IF(IF(ISNUMBER(VLOOKUP("3",A2:AD112,26,FALSE)),ROUND(VLOOKUP("3",A2:AD112,26,FALSE),4),0)&gt;IF(ISNUMBER(VLOOKUP("5.1",A2:AD112,26,FALSE)),ROUND(VLOOKUP("5.1",A2:AD112,26,FALSE),4),0),IF(ISNUMBER(VLOOKUP("5.1",A2:AD112,26,FALSE)),ROUND(VLOOKUP("5.1",A2:AD112,26,FALSE),4),0),IF(ISNUMBER(VLOOKUP("3",A2:AD112,26,FALSE)),ROUND(VLOOKUP("3",A2:AD112,26,FALSE),4),0)),0)</f>
        <v>2200000</v>
      </c>
      <c r="AA59" s="9">
        <f>IF(IF(ISNUMBER(VLOOKUP("3",A2:AD112,27,FALSE)),ROUND(VLOOKUP("3",A2:AD112,27,FALSE),4),0)&gt;0,IF(IF(ISNUMBER(VLOOKUP("3",A2:AD112,27,FALSE)),ROUND(VLOOKUP("3",A2:AD112,27,FALSE),4),0)&gt;IF(ISNUMBER(VLOOKUP("5.1",A2:AD112,27,FALSE)),ROUND(VLOOKUP("5.1",A2:AD112,27,FALSE),4),0),IF(ISNUMBER(VLOOKUP("5.1",A2:AD112,27,FALSE)),ROUND(VLOOKUP("5.1",A2:AD112,27,FALSE),4),0),IF(ISNUMBER(VLOOKUP("3",A2:AD112,27,FALSE)),ROUND(VLOOKUP("3",A2:AD112,27,FALSE),4),0)),0)</f>
        <v>2400000</v>
      </c>
      <c r="AB59" s="9">
        <f>IF(IF(ISNUMBER(VLOOKUP("3",A2:AD112,28,FALSE)),ROUND(VLOOKUP("3",A2:AD112,28,FALSE),4),0)&gt;0,IF(IF(ISNUMBER(VLOOKUP("3",A2:AD112,28,FALSE)),ROUND(VLOOKUP("3",A2:AD112,28,FALSE),4),0)&gt;IF(ISNUMBER(VLOOKUP("5.1",A2:AD112,28,FALSE)),ROUND(VLOOKUP("5.1",A2:AD112,28,FALSE),4),0),IF(ISNUMBER(VLOOKUP("5.1",A2:AD112,28,FALSE)),ROUND(VLOOKUP("5.1",A2:AD112,28,FALSE),4),0),IF(ISNUMBER(VLOOKUP("3",A2:AD112,28,FALSE)),ROUND(VLOOKUP("3",A2:AD112,28,FALSE),4),0)),0)</f>
        <v>2450000</v>
      </c>
      <c r="AC59" s="9">
        <f>IF(IF(ISNUMBER(VLOOKUP("3",A2:AD112,29,FALSE)),ROUND(VLOOKUP("3",A2:AD112,29,FALSE),4),0)&gt;0,IF(IF(ISNUMBER(VLOOKUP("3",A2:AD112,29,FALSE)),ROUND(VLOOKUP("3",A2:AD112,29,FALSE),4),0)&gt;IF(ISNUMBER(VLOOKUP("5.1",A2:AD112,29,FALSE)),ROUND(VLOOKUP("5.1",A2:AD112,29,FALSE),4),0),IF(ISNUMBER(VLOOKUP("5.1",A2:AD112,29,FALSE)),ROUND(VLOOKUP("5.1",A2:AD112,29,FALSE),4),0),IF(ISNUMBER(VLOOKUP("3",A2:AD112,29,FALSE)),ROUND(VLOOKUP("3",A2:AD112,29,FALSE),4),0)),0)</f>
        <v>2600000</v>
      </c>
      <c r="AD59" s="9">
        <f>IF(IF(ISNUMBER(VLOOKUP("3",A2:AD112,30,FALSE)),ROUND(VLOOKUP("3",A2:AD112,30,FALSE),4),0)&gt;0,IF(IF(ISNUMBER(VLOOKUP("3",A2:AD112,30,FALSE)),ROUND(VLOOKUP("3",A2:AD112,30,FALSE),4),0)&gt;IF(ISNUMBER(VLOOKUP("5.1",A2:AD112,30,FALSE)),ROUND(VLOOKUP("5.1",A2:AD112,30,FALSE),4),0),IF(ISNUMBER(VLOOKUP("5.1",A2:AD112,30,FALSE)),ROUND(VLOOKUP("5.1",A2:AD112,30,FALSE),4),0),IF(ISNUMBER(VLOOKUP("3",A2:AD112,30,FALSE)),ROUND(VLOOKUP("3",A2:AD112,30,FALSE),4),0)),0)</f>
        <v>1975000</v>
      </c>
    </row>
    <row r="60" spans="1:30" ht="27" customHeight="1" x14ac:dyDescent="0.25">
      <c r="A60" s="2" t="s">
        <v>142</v>
      </c>
      <c r="B60" s="3" t="s">
        <v>143</v>
      </c>
      <c r="C60" s="23" t="s">
        <v>65</v>
      </c>
      <c r="D60" s="23" t="s">
        <v>65</v>
      </c>
      <c r="E60" s="23" t="s">
        <v>65</v>
      </c>
      <c r="F60" s="23" t="s">
        <v>65</v>
      </c>
      <c r="G60" s="23" t="s">
        <v>65</v>
      </c>
      <c r="H60" s="23" t="s">
        <v>65</v>
      </c>
      <c r="I60" s="23" t="s">
        <v>65</v>
      </c>
      <c r="J60" s="23" t="s">
        <v>65</v>
      </c>
      <c r="K60" s="23" t="s">
        <v>65</v>
      </c>
      <c r="L60" s="23" t="s">
        <v>65</v>
      </c>
      <c r="M60" s="23" t="s">
        <v>65</v>
      </c>
      <c r="N60" s="23" t="s">
        <v>65</v>
      </c>
      <c r="O60" s="23" t="s">
        <v>65</v>
      </c>
      <c r="P60" s="23" t="s">
        <v>65</v>
      </c>
      <c r="Q60" s="23" t="s">
        <v>65</v>
      </c>
      <c r="R60" s="23" t="s">
        <v>65</v>
      </c>
      <c r="S60" s="23" t="s">
        <v>65</v>
      </c>
      <c r="T60" s="23" t="s">
        <v>65</v>
      </c>
      <c r="U60" s="23" t="s">
        <v>65</v>
      </c>
      <c r="V60" s="23" t="s">
        <v>65</v>
      </c>
      <c r="W60" s="23" t="s">
        <v>65</v>
      </c>
      <c r="X60" s="23" t="s">
        <v>65</v>
      </c>
      <c r="Y60" s="23" t="s">
        <v>65</v>
      </c>
      <c r="Z60" s="23" t="s">
        <v>65</v>
      </c>
      <c r="AA60" s="23" t="s">
        <v>65</v>
      </c>
      <c r="AB60" s="23" t="s">
        <v>65</v>
      </c>
      <c r="AC60" s="23" t="s">
        <v>65</v>
      </c>
      <c r="AD60" s="23" t="s">
        <v>65</v>
      </c>
    </row>
    <row r="61" spans="1:30" ht="27" customHeight="1" x14ac:dyDescent="0.25">
      <c r="A61" s="5" t="s">
        <v>144</v>
      </c>
      <c r="B61" s="6" t="s">
        <v>145</v>
      </c>
      <c r="C61" s="7">
        <v>11835021.029999999</v>
      </c>
      <c r="D61" s="7">
        <v>12078751.43</v>
      </c>
      <c r="E61" s="7">
        <v>12376193.77</v>
      </c>
      <c r="F61" s="7">
        <v>13052623.52</v>
      </c>
      <c r="G61" s="8">
        <v>13120183.02</v>
      </c>
      <c r="H61" s="8">
        <v>12966156</v>
      </c>
      <c r="I61" s="8">
        <v>13290310</v>
      </c>
      <c r="J61" s="8">
        <v>13622568</v>
      </c>
      <c r="K61" s="8">
        <v>13963132</v>
      </c>
      <c r="L61" s="8">
        <v>14312210</v>
      </c>
      <c r="M61" s="8">
        <v>14670015</v>
      </c>
      <c r="N61" s="8">
        <v>15036765</v>
      </c>
      <c r="O61" s="8">
        <v>15412684</v>
      </c>
      <c r="P61" s="8">
        <v>15798001</v>
      </c>
      <c r="Q61" s="8">
        <v>16192951</v>
      </c>
      <c r="R61" s="8">
        <v>16597775</v>
      </c>
      <c r="S61" s="8">
        <v>17012719</v>
      </c>
      <c r="T61" s="8">
        <v>17438037</v>
      </c>
      <c r="U61" s="8">
        <v>17873988</v>
      </c>
      <c r="V61" s="8">
        <v>18320838</v>
      </c>
      <c r="W61" s="8">
        <v>18778859</v>
      </c>
      <c r="X61" s="8">
        <v>19248330</v>
      </c>
      <c r="Y61" s="8">
        <v>19729538</v>
      </c>
      <c r="Z61" s="8">
        <v>20222776</v>
      </c>
      <c r="AA61" s="8">
        <v>20728345</v>
      </c>
      <c r="AB61" s="8">
        <v>21246554</v>
      </c>
      <c r="AC61" s="8">
        <v>21777718</v>
      </c>
      <c r="AD61" s="8">
        <v>21777718</v>
      </c>
    </row>
    <row r="62" spans="1:30" ht="27" customHeight="1" x14ac:dyDescent="0.25">
      <c r="A62" s="5" t="s">
        <v>146</v>
      </c>
      <c r="B62" s="6" t="s">
        <v>147</v>
      </c>
      <c r="C62" s="7">
        <v>5670776.3799999999</v>
      </c>
      <c r="D62" s="7">
        <v>4597920.0599999996</v>
      </c>
      <c r="E62" s="7">
        <v>3468486.74</v>
      </c>
      <c r="F62" s="7">
        <v>3654536.3</v>
      </c>
      <c r="G62" s="8">
        <v>3797788.44</v>
      </c>
      <c r="H62" s="8">
        <v>3932334</v>
      </c>
      <c r="I62" s="8">
        <v>4030642</v>
      </c>
      <c r="J62" s="8">
        <v>4131408</v>
      </c>
      <c r="K62" s="8">
        <v>4234693</v>
      </c>
      <c r="L62" s="8">
        <v>4340560</v>
      </c>
      <c r="M62" s="8">
        <v>4449074</v>
      </c>
      <c r="N62" s="8">
        <v>4560301</v>
      </c>
      <c r="O62" s="8">
        <v>4674309</v>
      </c>
      <c r="P62" s="8">
        <v>4791167</v>
      </c>
      <c r="Q62" s="8">
        <v>4910946</v>
      </c>
      <c r="R62" s="8">
        <v>5033720</v>
      </c>
      <c r="S62" s="8">
        <v>5159563</v>
      </c>
      <c r="T62" s="8">
        <v>5288552</v>
      </c>
      <c r="U62" s="8">
        <v>5420766</v>
      </c>
      <c r="V62" s="8">
        <v>5556285</v>
      </c>
      <c r="W62" s="8">
        <v>5695192</v>
      </c>
      <c r="X62" s="8">
        <v>5837572</v>
      </c>
      <c r="Y62" s="8">
        <v>5983511</v>
      </c>
      <c r="Z62" s="8">
        <v>6133099</v>
      </c>
      <c r="AA62" s="8">
        <v>6286426</v>
      </c>
      <c r="AB62" s="8">
        <v>6443587</v>
      </c>
      <c r="AC62" s="8">
        <v>6604677</v>
      </c>
      <c r="AD62" s="8">
        <v>6604677</v>
      </c>
    </row>
    <row r="63" spans="1:30" ht="27" customHeight="1" x14ac:dyDescent="0.25">
      <c r="A63" s="5" t="s">
        <v>148</v>
      </c>
      <c r="B63" s="6" t="s">
        <v>149</v>
      </c>
      <c r="C63" s="9">
        <f>IF(ISNUMBER(VLOOKUP("11.3.1",A2:AD112,3,FALSE)),ROUND(VLOOKUP("11.3.1",A2:AD112,3,FALSE),4),0) + IF(ISNUMBER(VLOOKUP("11.3.2",A2:AD112,3,FALSE)),ROUND(VLOOKUP("11.3.2",A2:AD112,3,FALSE),4),0)</f>
        <v>1809457.82</v>
      </c>
      <c r="D63" s="9">
        <f>IF(ISNUMBER(VLOOKUP("11.3.1",A2:AD112,4,FALSE)),ROUND(VLOOKUP("11.3.1",A2:AD112,4,FALSE),4),0) + IF(ISNUMBER(VLOOKUP("11.3.2",A2:AD112,4,FALSE)),ROUND(VLOOKUP("11.3.2",A2:AD112,4,FALSE),4),0)</f>
        <v>6338263.3399999999</v>
      </c>
      <c r="E63" s="9">
        <f>IF(ISNUMBER(VLOOKUP("11.3.1",A2:AD112,5,FALSE)),ROUND(VLOOKUP("11.3.1",A2:AD112,5,FALSE),4),0) + IF(ISNUMBER(VLOOKUP("11.3.2",A2:AD112,5,FALSE)),ROUND(VLOOKUP("11.3.2",A2:AD112,5,FALSE),4),0)</f>
        <v>43576357.68</v>
      </c>
      <c r="F63" s="9">
        <f>IF(ISNUMBER(VLOOKUP("11.3.1",A2:AD112,6,FALSE)),ROUND(VLOOKUP("11.3.1",A2:AD112,6,FALSE),4),0) + IF(ISNUMBER(VLOOKUP("11.3.2",A2:AD112,6,FALSE)),ROUND(VLOOKUP("11.3.2",A2:AD112,6,FALSE),4),0)</f>
        <v>43576357.68</v>
      </c>
      <c r="G63" s="9">
        <f>IF(ISNUMBER(VLOOKUP("11.3.1",A2:AD112,7,FALSE)),ROUND(VLOOKUP("11.3.1",A2:AD112,7,FALSE),4),0) + IF(ISNUMBER(VLOOKUP("11.3.2",A2:AD112,7,FALSE)),ROUND(VLOOKUP("11.3.2",A2:AD112,7,FALSE),4),0)</f>
        <v>44507562.840000004</v>
      </c>
      <c r="H63" s="9">
        <f>IF(ISNUMBER(VLOOKUP("11.3.1",A2:AD112,8,FALSE)),ROUND(VLOOKUP("11.3.1",A2:AD112,8,FALSE),4),0) + IF(ISNUMBER(VLOOKUP("11.3.2",A2:AD112,8,FALSE)),ROUND(VLOOKUP("11.3.2",A2:AD112,8,FALSE),4),0)</f>
        <v>59157050.130000003</v>
      </c>
      <c r="I63" s="9">
        <f>IF(ISNUMBER(VLOOKUP("11.3.1",A2:AD112,9,FALSE)),ROUND(VLOOKUP("11.3.1",A2:AD112,9,FALSE),4),0) + IF(ISNUMBER(VLOOKUP("11.3.2",A2:AD112,9,FALSE)),ROUND(VLOOKUP("11.3.2",A2:AD112,9,FALSE),4),0)</f>
        <v>42189105.979999997</v>
      </c>
      <c r="J63" s="9">
        <f>IF(ISNUMBER(VLOOKUP("11.3.1",A2:AD112,10,FALSE)),ROUND(VLOOKUP("11.3.1",A2:AD112,10,FALSE),4),0) + IF(ISNUMBER(VLOOKUP("11.3.2",A2:AD112,10,FALSE)),ROUND(VLOOKUP("11.3.2",A2:AD112,10,FALSE),4),0)</f>
        <v>38969123.090000004</v>
      </c>
      <c r="K63" s="9">
        <f>IF(ISNUMBER(VLOOKUP("11.3.1",A2:AD112,11,FALSE)),ROUND(VLOOKUP("11.3.1",A2:AD112,11,FALSE),4),0) + IF(ISNUMBER(VLOOKUP("11.3.2",A2:AD112,11,FALSE)),ROUND(VLOOKUP("11.3.2",A2:AD112,11,FALSE),4),0)</f>
        <v>2750000</v>
      </c>
      <c r="L63" s="9">
        <f>IF(ISNUMBER(VLOOKUP("11.3.1",A2:AD112,12,FALSE)),ROUND(VLOOKUP("11.3.1",A2:AD112,12,FALSE),4),0) + IF(ISNUMBER(VLOOKUP("11.3.2",A2:AD112,12,FALSE)),ROUND(VLOOKUP("11.3.2",A2:AD112,12,FALSE),4),0)</f>
        <v>0</v>
      </c>
      <c r="M63" s="9">
        <f>IF(ISNUMBER(VLOOKUP("11.3.1",A2:AD112,13,FALSE)),ROUND(VLOOKUP("11.3.1",A2:AD112,13,FALSE),4),0) + IF(ISNUMBER(VLOOKUP("11.3.2",A2:AD112,13,FALSE)),ROUND(VLOOKUP("11.3.2",A2:AD112,13,FALSE),4),0)</f>
        <v>0</v>
      </c>
      <c r="N63" s="9">
        <f>IF(ISNUMBER(VLOOKUP("11.3.1",A2:AD112,14,FALSE)),ROUND(VLOOKUP("11.3.1",A2:AD112,14,FALSE),4),0) + IF(ISNUMBER(VLOOKUP("11.3.2",A2:AD112,14,FALSE)),ROUND(VLOOKUP("11.3.2",A2:AD112,14,FALSE),4),0)</f>
        <v>0</v>
      </c>
      <c r="O63" s="9">
        <f>IF(ISNUMBER(VLOOKUP("11.3.1",A2:AD112,15,FALSE)),ROUND(VLOOKUP("11.3.1",A2:AD112,15,FALSE),4),0) + IF(ISNUMBER(VLOOKUP("11.3.2",A2:AD112,15,FALSE)),ROUND(VLOOKUP("11.3.2",A2:AD112,15,FALSE),4),0)</f>
        <v>0</v>
      </c>
      <c r="P63" s="9">
        <f>IF(ISNUMBER(VLOOKUP("11.3.1",A2:AD112,16,FALSE)),ROUND(VLOOKUP("11.3.1",A2:AD112,16,FALSE),4),0) + IF(ISNUMBER(VLOOKUP("11.3.2",A2:AD112,16,FALSE)),ROUND(VLOOKUP("11.3.2",A2:AD112,16,FALSE),4),0)</f>
        <v>0</v>
      </c>
      <c r="Q63" s="9">
        <f>IF(ISNUMBER(VLOOKUP("11.3.1",A2:AD112,17,FALSE)),ROUND(VLOOKUP("11.3.1",A2:AD112,17,FALSE),4),0) + IF(ISNUMBER(VLOOKUP("11.3.2",A2:AD112,17,FALSE)),ROUND(VLOOKUP("11.3.2",A2:AD112,17,FALSE),4),0)</f>
        <v>0</v>
      </c>
      <c r="R63" s="9">
        <f>IF(ISNUMBER(VLOOKUP("11.3.1",A2:AD112,18,FALSE)),ROUND(VLOOKUP("11.3.1",A2:AD112,18,FALSE),4),0) + IF(ISNUMBER(VLOOKUP("11.3.2",A2:AD112,18,FALSE)),ROUND(VLOOKUP("11.3.2",A2:AD112,18,FALSE),4),0)</f>
        <v>0</v>
      </c>
      <c r="S63" s="9">
        <f>IF(ISNUMBER(VLOOKUP("11.3.1",A2:AD112,19,FALSE)),ROUND(VLOOKUP("11.3.1",A2:AD112,19,FALSE),4),0) + IF(ISNUMBER(VLOOKUP("11.3.2",A2:AD112,19,FALSE)),ROUND(VLOOKUP("11.3.2",A2:AD112,19,FALSE),4),0)</f>
        <v>0</v>
      </c>
      <c r="T63" s="9">
        <f>IF(ISNUMBER(VLOOKUP("11.3.1",A2:AD112,20,FALSE)),ROUND(VLOOKUP("11.3.1",A2:AD112,20,FALSE),4),0) + IF(ISNUMBER(VLOOKUP("11.3.2",A2:AD112,20,FALSE)),ROUND(VLOOKUP("11.3.2",A2:AD112,20,FALSE),4),0)</f>
        <v>0</v>
      </c>
      <c r="U63" s="9">
        <f>IF(ISNUMBER(VLOOKUP("11.3.1",A2:AD112,21,FALSE)),ROUND(VLOOKUP("11.3.1",A2:AD112,21,FALSE),4),0) + IF(ISNUMBER(VLOOKUP("11.3.2",A2:AD112,21,FALSE)),ROUND(VLOOKUP("11.3.2",A2:AD112,21,FALSE),4),0)</f>
        <v>0</v>
      </c>
      <c r="V63" s="9">
        <f>IF(ISNUMBER(VLOOKUP("11.3.1",A2:AD112,22,FALSE)),ROUND(VLOOKUP("11.3.1",A2:AD112,22,FALSE),4),0) + IF(ISNUMBER(VLOOKUP("11.3.2",A2:AD112,22,FALSE)),ROUND(VLOOKUP("11.3.2",A2:AD112,22,FALSE),4),0)</f>
        <v>0</v>
      </c>
      <c r="W63" s="9">
        <f>IF(ISNUMBER(VLOOKUP("11.3.1",A2:AD112,23,FALSE)),ROUND(VLOOKUP("11.3.1",A2:AD112,23,FALSE),4),0) + IF(ISNUMBER(VLOOKUP("11.3.2",A2:AD112,23,FALSE)),ROUND(VLOOKUP("11.3.2",A2:AD112,23,FALSE),4),0)</f>
        <v>0</v>
      </c>
      <c r="X63" s="9">
        <f>IF(ISNUMBER(VLOOKUP("11.3.1",A2:AD112,24,FALSE)),ROUND(VLOOKUP("11.3.1",A2:AD112,24,FALSE),4),0) + IF(ISNUMBER(VLOOKUP("11.3.2",A2:AD112,24,FALSE)),ROUND(VLOOKUP("11.3.2",A2:AD112,24,FALSE),4),0)</f>
        <v>0</v>
      </c>
      <c r="Y63" s="9">
        <f>IF(ISNUMBER(VLOOKUP("11.3.1",A2:AD112,25,FALSE)),ROUND(VLOOKUP("11.3.1",A2:AD112,25,FALSE),4),0) + IF(ISNUMBER(VLOOKUP("11.3.2",A2:AD112,25,FALSE)),ROUND(VLOOKUP("11.3.2",A2:AD112,25,FALSE),4),0)</f>
        <v>0</v>
      </c>
      <c r="Z63" s="9">
        <f>IF(ISNUMBER(VLOOKUP("11.3.1",A2:AD112,26,FALSE)),ROUND(VLOOKUP("11.3.1",A2:AD112,26,FALSE),4),0) + IF(ISNUMBER(VLOOKUP("11.3.2",A2:AD112,26,FALSE)),ROUND(VLOOKUP("11.3.2",A2:AD112,26,FALSE),4),0)</f>
        <v>0</v>
      </c>
      <c r="AA63" s="9">
        <f>IF(ISNUMBER(VLOOKUP("11.3.1",A2:AD112,27,FALSE)),ROUND(VLOOKUP("11.3.1",A2:AD112,27,FALSE),4),0) + IF(ISNUMBER(VLOOKUP("11.3.2",A2:AD112,27,FALSE)),ROUND(VLOOKUP("11.3.2",A2:AD112,27,FALSE),4),0)</f>
        <v>0</v>
      </c>
      <c r="AB63" s="9">
        <f>IF(ISNUMBER(VLOOKUP("11.3.1",A2:AD112,28,FALSE)),ROUND(VLOOKUP("11.3.1",A2:AD112,28,FALSE),4),0) + IF(ISNUMBER(VLOOKUP("11.3.2",A2:AD112,28,FALSE)),ROUND(VLOOKUP("11.3.2",A2:AD112,28,FALSE),4),0)</f>
        <v>0</v>
      </c>
      <c r="AC63" s="9">
        <f>IF(ISNUMBER(VLOOKUP("11.3.1",A2:AD112,29,FALSE)),ROUND(VLOOKUP("11.3.1",A2:AD112,29,FALSE),4),0) + IF(ISNUMBER(VLOOKUP("11.3.2",A2:AD112,29,FALSE)),ROUND(VLOOKUP("11.3.2",A2:AD112,29,FALSE),4),0)</f>
        <v>0</v>
      </c>
      <c r="AD63" s="9">
        <f>IF(ISNUMBER(VLOOKUP("11.3.1",A2:AD112,30,FALSE)),ROUND(VLOOKUP("11.3.1",A2:AD112,30,FALSE),4),0) + IF(ISNUMBER(VLOOKUP("11.3.2",A2:AD112,30,FALSE)),ROUND(VLOOKUP("11.3.2",A2:AD112,30,FALSE),4),0)</f>
        <v>0</v>
      </c>
    </row>
    <row r="64" spans="1:30" ht="14.25" customHeight="1" x14ac:dyDescent="0.25">
      <c r="A64" s="5" t="s">
        <v>150</v>
      </c>
      <c r="B64" s="6" t="s">
        <v>151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</row>
    <row r="65" spans="1:30" ht="14.25" customHeight="1" x14ac:dyDescent="0.25">
      <c r="A65" s="5" t="s">
        <v>152</v>
      </c>
      <c r="B65" s="6" t="s">
        <v>153</v>
      </c>
      <c r="C65" s="9">
        <v>1809457.82</v>
      </c>
      <c r="D65" s="9">
        <v>6338263.3399999999</v>
      </c>
      <c r="E65" s="9">
        <v>43576357.68</v>
      </c>
      <c r="F65" s="9">
        <v>43576357.68</v>
      </c>
      <c r="G65" s="9">
        <v>44507562.840000004</v>
      </c>
      <c r="H65" s="9">
        <v>59157050.130000003</v>
      </c>
      <c r="I65" s="9">
        <v>42189105.979999997</v>
      </c>
      <c r="J65" s="9">
        <v>38969123.090000004</v>
      </c>
      <c r="K65" s="9">
        <v>2750000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</row>
    <row r="66" spans="1:30" ht="14.25" customHeight="1" x14ac:dyDescent="0.25">
      <c r="A66" s="5" t="s">
        <v>154</v>
      </c>
      <c r="B66" s="6" t="s">
        <v>155</v>
      </c>
      <c r="C66" s="7">
        <v>4522011.2300000004</v>
      </c>
      <c r="D66" s="7">
        <v>10526588.220000001</v>
      </c>
      <c r="E66" s="7">
        <v>34690492.899999999</v>
      </c>
      <c r="F66" s="7">
        <v>27109889.07</v>
      </c>
      <c r="G66" s="8">
        <v>44507562.840000004</v>
      </c>
      <c r="H66" s="8">
        <v>59157050.130000003</v>
      </c>
      <c r="I66" s="8">
        <v>42189105.979999997</v>
      </c>
      <c r="J66" s="8">
        <v>38969123.090000004</v>
      </c>
      <c r="K66" s="8">
        <v>2700000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</row>
    <row r="67" spans="1:30" ht="14.25" customHeight="1" x14ac:dyDescent="0.25">
      <c r="A67" s="5" t="s">
        <v>156</v>
      </c>
      <c r="B67" s="6" t="s">
        <v>157</v>
      </c>
      <c r="C67" s="7">
        <v>4715062.41</v>
      </c>
      <c r="D67" s="7">
        <v>0</v>
      </c>
      <c r="E67" s="7">
        <v>9509490.7599999998</v>
      </c>
      <c r="F67" s="7">
        <v>0</v>
      </c>
      <c r="G67" s="8">
        <v>1566728.53</v>
      </c>
      <c r="H67" s="8">
        <v>0</v>
      </c>
      <c r="I67" s="8">
        <v>0</v>
      </c>
      <c r="J67" s="8">
        <v>0</v>
      </c>
      <c r="K67" s="8">
        <v>3782776.54</v>
      </c>
      <c r="L67" s="8">
        <v>4577289</v>
      </c>
      <c r="M67" s="8">
        <v>4055604</v>
      </c>
      <c r="N67" s="8">
        <v>4433346</v>
      </c>
      <c r="O67" s="8">
        <v>4944273</v>
      </c>
      <c r="P67" s="8">
        <v>5148797.5</v>
      </c>
      <c r="Q67" s="8">
        <v>4139702.13</v>
      </c>
      <c r="R67" s="8">
        <v>5878469</v>
      </c>
      <c r="S67" s="8">
        <v>7074432.9699999997</v>
      </c>
      <c r="T67" s="8">
        <v>8141766</v>
      </c>
      <c r="U67" s="8">
        <v>8739068</v>
      </c>
      <c r="V67" s="8">
        <v>9988187</v>
      </c>
      <c r="W67" s="8">
        <v>11044107.51</v>
      </c>
      <c r="X67" s="8">
        <v>12590648</v>
      </c>
      <c r="Y67" s="8">
        <v>13269461</v>
      </c>
      <c r="Z67" s="8">
        <v>13968602</v>
      </c>
      <c r="AA67" s="8">
        <v>14488633</v>
      </c>
      <c r="AB67" s="8">
        <v>15182133</v>
      </c>
      <c r="AC67" s="8">
        <v>15799693</v>
      </c>
      <c r="AD67" s="8">
        <v>13981193</v>
      </c>
    </row>
    <row r="68" spans="1:30" ht="14.25" customHeight="1" x14ac:dyDescent="0.25">
      <c r="A68" s="5" t="s">
        <v>158</v>
      </c>
      <c r="B68" s="6" t="s">
        <v>159</v>
      </c>
      <c r="C68" s="7">
        <v>0</v>
      </c>
      <c r="D68" s="7">
        <v>115004.3</v>
      </c>
      <c r="E68" s="7">
        <v>150000</v>
      </c>
      <c r="F68" s="7">
        <v>0</v>
      </c>
      <c r="G68" s="8">
        <v>50000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</row>
    <row r="69" spans="1:30" hidden="1" x14ac:dyDescent="0.25">
      <c r="A69" s="5" t="s">
        <v>160</v>
      </c>
      <c r="B69" s="6" t="s">
        <v>47</v>
      </c>
      <c r="C69" s="7">
        <v>0</v>
      </c>
      <c r="D69" s="7">
        <v>5000</v>
      </c>
      <c r="E69" s="7">
        <v>0</v>
      </c>
      <c r="F69" s="7">
        <v>202449.62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</row>
    <row r="70" spans="1:30" ht="39.950000000000003" customHeight="1" x14ac:dyDescent="0.25">
      <c r="A70" s="2" t="s">
        <v>161</v>
      </c>
      <c r="B70" s="3" t="s">
        <v>162</v>
      </c>
      <c r="C70" s="23" t="s">
        <v>65</v>
      </c>
      <c r="D70" s="23" t="s">
        <v>65</v>
      </c>
      <c r="E70" s="23" t="s">
        <v>65</v>
      </c>
      <c r="F70" s="23" t="s">
        <v>65</v>
      </c>
      <c r="G70" s="23" t="s">
        <v>65</v>
      </c>
      <c r="H70" s="23" t="s">
        <v>65</v>
      </c>
      <c r="I70" s="23" t="s">
        <v>65</v>
      </c>
      <c r="J70" s="23" t="s">
        <v>65</v>
      </c>
      <c r="K70" s="23" t="s">
        <v>65</v>
      </c>
      <c r="L70" s="23" t="s">
        <v>65</v>
      </c>
      <c r="M70" s="23" t="s">
        <v>65</v>
      </c>
      <c r="N70" s="23" t="s">
        <v>65</v>
      </c>
      <c r="O70" s="23" t="s">
        <v>65</v>
      </c>
      <c r="P70" s="23" t="s">
        <v>65</v>
      </c>
      <c r="Q70" s="23" t="s">
        <v>65</v>
      </c>
      <c r="R70" s="23" t="s">
        <v>65</v>
      </c>
      <c r="S70" s="23" t="s">
        <v>65</v>
      </c>
      <c r="T70" s="23" t="s">
        <v>65</v>
      </c>
      <c r="U70" s="23" t="s">
        <v>65</v>
      </c>
      <c r="V70" s="23" t="s">
        <v>65</v>
      </c>
      <c r="W70" s="23" t="s">
        <v>65</v>
      </c>
      <c r="X70" s="23" t="s">
        <v>65</v>
      </c>
      <c r="Y70" s="23" t="s">
        <v>65</v>
      </c>
      <c r="Z70" s="23" t="s">
        <v>65</v>
      </c>
      <c r="AA70" s="23" t="s">
        <v>65</v>
      </c>
      <c r="AB70" s="23" t="s">
        <v>65</v>
      </c>
      <c r="AC70" s="23" t="s">
        <v>65</v>
      </c>
      <c r="AD70" s="23" t="s">
        <v>65</v>
      </c>
    </row>
    <row r="71" spans="1:30" ht="39.950000000000003" customHeight="1" x14ac:dyDescent="0.25">
      <c r="A71" s="5" t="s">
        <v>163</v>
      </c>
      <c r="B71" s="6" t="s">
        <v>164</v>
      </c>
      <c r="C71" s="7">
        <v>104095.1</v>
      </c>
      <c r="D71" s="7">
        <v>0</v>
      </c>
      <c r="E71" s="7">
        <v>0</v>
      </c>
      <c r="F71" s="7">
        <v>0</v>
      </c>
      <c r="G71" s="8">
        <v>79940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</row>
    <row r="72" spans="1:30" ht="14.25" customHeight="1" x14ac:dyDescent="0.25">
      <c r="A72" s="5" t="s">
        <v>165</v>
      </c>
      <c r="B72" s="6" t="s">
        <v>166</v>
      </c>
      <c r="C72" s="7">
        <v>88480.83</v>
      </c>
      <c r="D72" s="7">
        <v>0</v>
      </c>
      <c r="E72" s="7">
        <v>0</v>
      </c>
      <c r="F72" s="7">
        <v>0</v>
      </c>
      <c r="G72" s="8">
        <v>75960.5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</row>
    <row r="73" spans="1:30" ht="39.950000000000003" customHeight="1" x14ac:dyDescent="0.25">
      <c r="A73" s="5" t="s">
        <v>167</v>
      </c>
      <c r="B73" s="6" t="s">
        <v>168</v>
      </c>
      <c r="C73" s="7">
        <v>0</v>
      </c>
      <c r="D73" s="7">
        <v>0</v>
      </c>
      <c r="E73" s="7">
        <v>0</v>
      </c>
      <c r="F73" s="7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</row>
    <row r="74" spans="1:30" ht="39.950000000000003" customHeight="1" x14ac:dyDescent="0.25">
      <c r="A74" s="5" t="s">
        <v>169</v>
      </c>
      <c r="B74" s="6" t="s">
        <v>170</v>
      </c>
      <c r="C74" s="7">
        <v>0</v>
      </c>
      <c r="D74" s="7">
        <v>1959425</v>
      </c>
      <c r="E74" s="7">
        <v>23875656.210000001</v>
      </c>
      <c r="F74" s="7">
        <v>15820359.119999999</v>
      </c>
      <c r="G74" s="8">
        <v>23272220.91</v>
      </c>
      <c r="H74" s="8">
        <v>29410435.609999999</v>
      </c>
      <c r="I74" s="8">
        <v>20339733.920000002</v>
      </c>
      <c r="J74" s="8">
        <v>18387295.75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</row>
    <row r="75" spans="1:30" ht="14.25" customHeight="1" x14ac:dyDescent="0.25">
      <c r="A75" s="5" t="s">
        <v>171</v>
      </c>
      <c r="B75" s="6" t="s">
        <v>166</v>
      </c>
      <c r="C75" s="7">
        <v>0</v>
      </c>
      <c r="D75" s="7">
        <v>1959425</v>
      </c>
      <c r="E75" s="7">
        <v>23875656.210000001</v>
      </c>
      <c r="F75" s="7">
        <v>15820359.119999999</v>
      </c>
      <c r="G75" s="8">
        <v>23272220.91</v>
      </c>
      <c r="H75" s="8">
        <v>29410435.609999999</v>
      </c>
      <c r="I75" s="8">
        <v>20339733.920000002</v>
      </c>
      <c r="J75" s="8">
        <v>18387295.75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</row>
    <row r="76" spans="1:30" ht="39.950000000000003" customHeight="1" x14ac:dyDescent="0.25">
      <c r="A76" s="5" t="s">
        <v>172</v>
      </c>
      <c r="B76" s="6" t="s">
        <v>173</v>
      </c>
      <c r="C76" s="7">
        <v>0</v>
      </c>
      <c r="D76" s="7">
        <v>0</v>
      </c>
      <c r="E76" s="7">
        <v>0</v>
      </c>
      <c r="F76" s="7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</row>
    <row r="77" spans="1:30" ht="39.950000000000003" customHeight="1" x14ac:dyDescent="0.25">
      <c r="A77" s="5" t="s">
        <v>174</v>
      </c>
      <c r="B77" s="6" t="s">
        <v>175</v>
      </c>
      <c r="C77" s="7">
        <v>115661.24</v>
      </c>
      <c r="D77" s="7">
        <v>0</v>
      </c>
      <c r="E77" s="7">
        <v>0</v>
      </c>
      <c r="F77" s="7">
        <v>0</v>
      </c>
      <c r="G77" s="8">
        <v>79940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</row>
    <row r="78" spans="1:30" ht="27" customHeight="1" x14ac:dyDescent="0.25">
      <c r="A78" s="5" t="s">
        <v>176</v>
      </c>
      <c r="B78" s="6" t="s">
        <v>177</v>
      </c>
      <c r="C78" s="7">
        <v>88480.84</v>
      </c>
      <c r="D78" s="7">
        <v>0</v>
      </c>
      <c r="E78" s="7">
        <v>0</v>
      </c>
      <c r="F78" s="7">
        <v>0</v>
      </c>
      <c r="G78" s="8">
        <v>75960.5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</row>
    <row r="79" spans="1:30" ht="52.9" customHeight="1" x14ac:dyDescent="0.25">
      <c r="A79" s="5" t="s">
        <v>178</v>
      </c>
      <c r="B79" s="6" t="s">
        <v>179</v>
      </c>
      <c r="C79" s="7">
        <v>0</v>
      </c>
      <c r="D79" s="7">
        <v>0</v>
      </c>
      <c r="E79" s="7">
        <v>0</v>
      </c>
      <c r="F79" s="7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</row>
    <row r="80" spans="1:30" ht="39.950000000000003" customHeight="1" x14ac:dyDescent="0.25">
      <c r="A80" s="5" t="s">
        <v>180</v>
      </c>
      <c r="B80" s="6" t="s">
        <v>181</v>
      </c>
      <c r="C80" s="7">
        <v>3121862.75</v>
      </c>
      <c r="D80" s="7">
        <v>3677765.76</v>
      </c>
      <c r="E80" s="7">
        <v>38232170.939999998</v>
      </c>
      <c r="F80" s="7">
        <v>26903452.190000001</v>
      </c>
      <c r="G80" s="8">
        <v>33304916.050000001</v>
      </c>
      <c r="H80" s="8">
        <v>48888723.780000001</v>
      </c>
      <c r="I80" s="8">
        <v>37669647.630000003</v>
      </c>
      <c r="J80" s="8">
        <v>35476664.740000002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</row>
    <row r="81" spans="1:30" ht="27" customHeight="1" x14ac:dyDescent="0.25">
      <c r="A81" s="5" t="s">
        <v>182</v>
      </c>
      <c r="B81" s="6" t="s">
        <v>177</v>
      </c>
      <c r="C81" s="7">
        <v>0</v>
      </c>
      <c r="D81" s="7">
        <v>1723478.09</v>
      </c>
      <c r="E81" s="7">
        <v>23094474.68</v>
      </c>
      <c r="F81" s="7">
        <v>14924787.880000001</v>
      </c>
      <c r="G81" s="8">
        <v>21724495.079999998</v>
      </c>
      <c r="H81" s="8">
        <v>29410435.609999999</v>
      </c>
      <c r="I81" s="8">
        <v>20339733.920000002</v>
      </c>
      <c r="J81" s="8">
        <v>18387295.75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</row>
    <row r="82" spans="1:30" ht="52.9" customHeight="1" x14ac:dyDescent="0.25">
      <c r="A82" s="5" t="s">
        <v>183</v>
      </c>
      <c r="B82" s="6" t="s">
        <v>184</v>
      </c>
      <c r="C82" s="7">
        <v>0</v>
      </c>
      <c r="D82" s="7">
        <v>0</v>
      </c>
      <c r="E82" s="7">
        <v>0</v>
      </c>
      <c r="F82" s="7">
        <v>0</v>
      </c>
      <c r="G82" s="8">
        <v>33304916.050000001</v>
      </c>
      <c r="H82" s="8">
        <v>48888723.780000001</v>
      </c>
      <c r="I82" s="8">
        <v>37669647.630000003</v>
      </c>
      <c r="J82" s="8">
        <v>35476664.740000002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</row>
    <row r="83" spans="1:30" ht="52.9" customHeight="1" x14ac:dyDescent="0.25">
      <c r="A83" s="5" t="s">
        <v>185</v>
      </c>
      <c r="B83" s="6" t="s">
        <v>186</v>
      </c>
      <c r="C83" s="9">
        <f>(IF(ISNUMBER(VLOOKUP("12.3",A2:AD112,3,FALSE)),ROUND(VLOOKUP("12.3",A2:AD112,3,FALSE),4),0)+IF(ISNUMBER(VLOOKUP("12.4",A2:AD112,3,FALSE)),ROUND(VLOOKUP("12.4",A2:AD112,3,FALSE),4),0))-(IF(ISNUMBER(VLOOKUP("12.3.1",A2:AD112,3,FALSE)),ROUND(VLOOKUP("12.3.1",A2:AD112,3,FALSE),4),0)+IF(ISNUMBER(VLOOKUP("12.4.1",A2:AD112,3,FALSE)),ROUND(VLOOKUP("12.4.1",A2:AD112,3,FALSE),4),0))</f>
        <v>3149043.1500000004</v>
      </c>
      <c r="D83" s="9">
        <f>(IF(ISNUMBER(VLOOKUP("12.3",A2:AD112,4,FALSE)),ROUND(VLOOKUP("12.3",A2:AD112,4,FALSE),4),0)+IF(ISNUMBER(VLOOKUP("12.4",A2:AD112,4,FALSE)),ROUND(VLOOKUP("12.4",A2:AD112,4,FALSE),4),0))-(IF(ISNUMBER(VLOOKUP("12.3.1",A2:AD112,4,FALSE)),ROUND(VLOOKUP("12.3.1",A2:AD112,4,FALSE),4),0)+IF(ISNUMBER(VLOOKUP("12.4.1",A2:AD112,4,FALSE)),ROUND(VLOOKUP("12.4.1",A2:AD112,4,FALSE),4),0))</f>
        <v>1954287.6699999997</v>
      </c>
      <c r="E83" s="9">
        <f>(IF(ISNUMBER(VLOOKUP("12.3",A2:AD112,5,FALSE)),ROUND(VLOOKUP("12.3",A2:AD112,5,FALSE),4),0)+IF(ISNUMBER(VLOOKUP("12.4",A2:AD112,5,FALSE)),ROUND(VLOOKUP("12.4",A2:AD112,5,FALSE),4),0))-(IF(ISNUMBER(VLOOKUP("12.3.1",A2:AD112,5,FALSE)),ROUND(VLOOKUP("12.3.1",A2:AD112,5,FALSE),4),0)+IF(ISNUMBER(VLOOKUP("12.4.1",A2:AD112,5,FALSE)),ROUND(VLOOKUP("12.4.1",A2:AD112,5,FALSE),4),0))</f>
        <v>15137696.259999998</v>
      </c>
      <c r="F83" s="9">
        <f>(IF(ISNUMBER(VLOOKUP("12.3",A2:AD112,6,FALSE)),ROUND(VLOOKUP("12.3",A2:AD112,6,FALSE),4),0)+IF(ISNUMBER(VLOOKUP("12.4",A2:AD112,6,FALSE)),ROUND(VLOOKUP("12.4",A2:AD112,6,FALSE),4),0))-(IF(ISNUMBER(VLOOKUP("12.3.1",A2:AD112,6,FALSE)),ROUND(VLOOKUP("12.3.1",A2:AD112,6,FALSE),4),0)+IF(ISNUMBER(VLOOKUP("12.4.1",A2:AD112,6,FALSE)),ROUND(VLOOKUP("12.4.1",A2:AD112,6,FALSE),4),0))</f>
        <v>11978664.310000001</v>
      </c>
      <c r="G83" s="9">
        <f>(IF(ISNUMBER(VLOOKUP("12.3",A2:AD112,7,FALSE)),ROUND(VLOOKUP("12.3",A2:AD112,7,FALSE),4),0)+IF(ISNUMBER(VLOOKUP("12.4",A2:AD112,7,FALSE)),ROUND(VLOOKUP("12.4",A2:AD112,7,FALSE),4),0))-(IF(ISNUMBER(VLOOKUP("12.3.1",A2:AD112,7,FALSE)),ROUND(VLOOKUP("12.3.1",A2:AD112,7,FALSE),4),0)+IF(ISNUMBER(VLOOKUP("12.4.1",A2:AD112,7,FALSE)),ROUND(VLOOKUP("12.4.1",A2:AD112,7,FALSE),4),0))</f>
        <v>11584400.470000003</v>
      </c>
      <c r="H83" s="9">
        <f>(IF(ISNUMBER(VLOOKUP("12.3",A2:AD112,8,FALSE)),ROUND(VLOOKUP("12.3",A2:AD112,8,FALSE),4),0)+IF(ISNUMBER(VLOOKUP("12.4",A2:AD112,8,FALSE)),ROUND(VLOOKUP("12.4",A2:AD112,8,FALSE),4),0))-(IF(ISNUMBER(VLOOKUP("12.3.1",A2:AD112,8,FALSE)),ROUND(VLOOKUP("12.3.1",A2:AD112,8,FALSE),4),0)+IF(ISNUMBER(VLOOKUP("12.4.1",A2:AD112,8,FALSE)),ROUND(VLOOKUP("12.4.1",A2:AD112,8,FALSE),4),0))</f>
        <v>19478288.170000002</v>
      </c>
      <c r="I83" s="9">
        <f>(IF(ISNUMBER(VLOOKUP("12.3",A2:AD112,9,FALSE)),ROUND(VLOOKUP("12.3",A2:AD112,9,FALSE),4),0)+IF(ISNUMBER(VLOOKUP("12.4",A2:AD112,9,FALSE)),ROUND(VLOOKUP("12.4",A2:AD112,9,FALSE),4),0))-(IF(ISNUMBER(VLOOKUP("12.3.1",A2:AD112,9,FALSE)),ROUND(VLOOKUP("12.3.1",A2:AD112,9,FALSE),4),0)+IF(ISNUMBER(VLOOKUP("12.4.1",A2:AD112,9,FALSE)),ROUND(VLOOKUP("12.4.1",A2:AD112,9,FALSE),4),0))</f>
        <v>17329913.710000001</v>
      </c>
      <c r="J83" s="9">
        <f>(IF(ISNUMBER(VLOOKUP("12.3",A2:AD112,10,FALSE)),ROUND(VLOOKUP("12.3",A2:AD112,10,FALSE),4),0)+IF(ISNUMBER(VLOOKUP("12.4",A2:AD112,10,FALSE)),ROUND(VLOOKUP("12.4",A2:AD112,10,FALSE),4),0))-(IF(ISNUMBER(VLOOKUP("12.3.1",A2:AD112,10,FALSE)),ROUND(VLOOKUP("12.3.1",A2:AD112,10,FALSE),4),0)+IF(ISNUMBER(VLOOKUP("12.4.1",A2:AD112,10,FALSE)),ROUND(VLOOKUP("12.4.1",A2:AD112,10,FALSE),4),0))</f>
        <v>17089368.990000002</v>
      </c>
      <c r="K83" s="9">
        <f>(IF(ISNUMBER(VLOOKUP("12.3",A2:AD112,11,FALSE)),ROUND(VLOOKUP("12.3",A2:AD112,11,FALSE),4),0)+IF(ISNUMBER(VLOOKUP("12.4",A2:AD112,11,FALSE)),ROUND(VLOOKUP("12.4",A2:AD112,11,FALSE),4),0))-(IF(ISNUMBER(VLOOKUP("12.3.1",A2:AD112,11,FALSE)),ROUND(VLOOKUP("12.3.1",A2:AD112,11,FALSE),4),0)+IF(ISNUMBER(VLOOKUP("12.4.1",A2:AD112,11,FALSE)),ROUND(VLOOKUP("12.4.1",A2:AD112,11,FALSE),4),0))</f>
        <v>0</v>
      </c>
      <c r="L83" s="9">
        <f>(IF(ISNUMBER(VLOOKUP("12.3",A2:AD112,12,FALSE)),ROUND(VLOOKUP("12.3",A2:AD112,12,FALSE),4),0)+IF(ISNUMBER(VLOOKUP("12.4",A2:AD112,12,FALSE)),ROUND(VLOOKUP("12.4",A2:AD112,12,FALSE),4),0))-(IF(ISNUMBER(VLOOKUP("12.3.1",A2:AD112,12,FALSE)),ROUND(VLOOKUP("12.3.1",A2:AD112,12,FALSE),4),0)+IF(ISNUMBER(VLOOKUP("12.4.1",A2:AD112,12,FALSE)),ROUND(VLOOKUP("12.4.1",A2:AD112,12,FALSE),4),0))</f>
        <v>0</v>
      </c>
      <c r="M83" s="9">
        <f>(IF(ISNUMBER(VLOOKUP("12.3",A2:AD112,13,FALSE)),ROUND(VLOOKUP("12.3",A2:AD112,13,FALSE),4),0)+IF(ISNUMBER(VLOOKUP("12.4",A2:AD112,13,FALSE)),ROUND(VLOOKUP("12.4",A2:AD112,13,FALSE),4),0))-(IF(ISNUMBER(VLOOKUP("12.3.1",A2:AD112,13,FALSE)),ROUND(VLOOKUP("12.3.1",A2:AD112,13,FALSE),4),0)+IF(ISNUMBER(VLOOKUP("12.4.1",A2:AD112,13,FALSE)),ROUND(VLOOKUP("12.4.1",A2:AD112,13,FALSE),4),0))</f>
        <v>0</v>
      </c>
      <c r="N83" s="9">
        <f>(IF(ISNUMBER(VLOOKUP("12.3",A2:AD112,14,FALSE)),ROUND(VLOOKUP("12.3",A2:AD112,14,FALSE),4),0)+IF(ISNUMBER(VLOOKUP("12.4",A2:AD112,14,FALSE)),ROUND(VLOOKUP("12.4",A2:AD112,14,FALSE),4),0))-(IF(ISNUMBER(VLOOKUP("12.3.1",A2:AD112,14,FALSE)),ROUND(VLOOKUP("12.3.1",A2:AD112,14,FALSE),4),0)+IF(ISNUMBER(VLOOKUP("12.4.1",A2:AD112,14,FALSE)),ROUND(VLOOKUP("12.4.1",A2:AD112,14,FALSE),4),0))</f>
        <v>0</v>
      </c>
      <c r="O83" s="9">
        <f>(IF(ISNUMBER(VLOOKUP("12.3",A2:AD112,15,FALSE)),ROUND(VLOOKUP("12.3",A2:AD112,15,FALSE),4),0)+IF(ISNUMBER(VLOOKUP("12.4",A2:AD112,15,FALSE)),ROUND(VLOOKUP("12.4",A2:AD112,15,FALSE),4),0))-(IF(ISNUMBER(VLOOKUP("12.3.1",A2:AD112,15,FALSE)),ROUND(VLOOKUP("12.3.1",A2:AD112,15,FALSE),4),0)+IF(ISNUMBER(VLOOKUP("12.4.1",A2:AD112,15,FALSE)),ROUND(VLOOKUP("12.4.1",A2:AD112,15,FALSE),4),0))</f>
        <v>0</v>
      </c>
      <c r="P83" s="9">
        <f>(IF(ISNUMBER(VLOOKUP("12.3",A2:AD112,16,FALSE)),ROUND(VLOOKUP("12.3",A2:AD112,16,FALSE),4),0)+IF(ISNUMBER(VLOOKUP("12.4",A2:AD112,16,FALSE)),ROUND(VLOOKUP("12.4",A2:AD112,16,FALSE),4),0))-(IF(ISNUMBER(VLOOKUP("12.3.1",A2:AD112,16,FALSE)),ROUND(VLOOKUP("12.3.1",A2:AD112,16,FALSE),4),0)+IF(ISNUMBER(VLOOKUP("12.4.1",A2:AD112,16,FALSE)),ROUND(VLOOKUP("12.4.1",A2:AD112,16,FALSE),4),0))</f>
        <v>0</v>
      </c>
      <c r="Q83" s="9">
        <f>(IF(ISNUMBER(VLOOKUP("12.3",A2:AD112,17,FALSE)),ROUND(VLOOKUP("12.3",A2:AD112,17,FALSE),4),0)+IF(ISNUMBER(VLOOKUP("12.4",A2:AD112,17,FALSE)),ROUND(VLOOKUP("12.4",A2:AD112,17,FALSE),4),0))-(IF(ISNUMBER(VLOOKUP("12.3.1",A2:AD112,17,FALSE)),ROUND(VLOOKUP("12.3.1",A2:AD112,17,FALSE),4),0)+IF(ISNUMBER(VLOOKUP("12.4.1",A2:AD112,17,FALSE)),ROUND(VLOOKUP("12.4.1",A2:AD112,17,FALSE),4),0))</f>
        <v>0</v>
      </c>
      <c r="R83" s="9">
        <f>(IF(ISNUMBER(VLOOKUP("12.3",A2:AD112,18,FALSE)),ROUND(VLOOKUP("12.3",A2:AD112,18,FALSE),4),0)+IF(ISNUMBER(VLOOKUP("12.4",A2:AD112,18,FALSE)),ROUND(VLOOKUP("12.4",A2:AD112,18,FALSE),4),0))-(IF(ISNUMBER(VLOOKUP("12.3.1",A2:AD112,18,FALSE)),ROUND(VLOOKUP("12.3.1",A2:AD112,18,FALSE),4),0)+IF(ISNUMBER(VLOOKUP("12.4.1",A2:AD112,18,FALSE)),ROUND(VLOOKUP("12.4.1",A2:AD112,18,FALSE),4),0))</f>
        <v>0</v>
      </c>
      <c r="S83" s="9">
        <f>(IF(ISNUMBER(VLOOKUP("12.3",A2:AD112,19,FALSE)),ROUND(VLOOKUP("12.3",A2:AD112,19,FALSE),4),0)+IF(ISNUMBER(VLOOKUP("12.4",A2:AD112,19,FALSE)),ROUND(VLOOKUP("12.4",A2:AD112,19,FALSE),4),0))-(IF(ISNUMBER(VLOOKUP("12.3.1",A2:AD112,19,FALSE)),ROUND(VLOOKUP("12.3.1",A2:AD112,19,FALSE),4),0)+IF(ISNUMBER(VLOOKUP("12.4.1",A2:AD112,19,FALSE)),ROUND(VLOOKUP("12.4.1",A2:AD112,19,FALSE),4),0))</f>
        <v>0</v>
      </c>
      <c r="T83" s="9">
        <f>(IF(ISNUMBER(VLOOKUP("12.3",A2:AD112,20,FALSE)),ROUND(VLOOKUP("12.3",A2:AD112,20,FALSE),4),0)+IF(ISNUMBER(VLOOKUP("12.4",A2:AD112,20,FALSE)),ROUND(VLOOKUP("12.4",A2:AD112,20,FALSE),4),0))-(IF(ISNUMBER(VLOOKUP("12.3.1",A2:AD112,20,FALSE)),ROUND(VLOOKUP("12.3.1",A2:AD112,20,FALSE),4),0)+IF(ISNUMBER(VLOOKUP("12.4.1",A2:AD112,20,FALSE)),ROUND(VLOOKUP("12.4.1",A2:AD112,20,FALSE),4),0))</f>
        <v>0</v>
      </c>
      <c r="U83" s="9">
        <f>(IF(ISNUMBER(VLOOKUP("12.3",A2:AD112,21,FALSE)),ROUND(VLOOKUP("12.3",A2:AD112,21,FALSE),4),0)+IF(ISNUMBER(VLOOKUP("12.4",A2:AD112,21,FALSE)),ROUND(VLOOKUP("12.4",A2:AD112,21,FALSE),4),0))-(IF(ISNUMBER(VLOOKUP("12.3.1",A2:AD112,21,FALSE)),ROUND(VLOOKUP("12.3.1",A2:AD112,21,FALSE),4),0)+IF(ISNUMBER(VLOOKUP("12.4.1",A2:AD112,21,FALSE)),ROUND(VLOOKUP("12.4.1",A2:AD112,21,FALSE),4),0))</f>
        <v>0</v>
      </c>
      <c r="V83" s="9">
        <f>(IF(ISNUMBER(VLOOKUP("12.3",A2:AD112,22,FALSE)),ROUND(VLOOKUP("12.3",A2:AD112,22,FALSE),4),0)+IF(ISNUMBER(VLOOKUP("12.4",A2:AD112,22,FALSE)),ROUND(VLOOKUP("12.4",A2:AD112,22,FALSE),4),0))-(IF(ISNUMBER(VLOOKUP("12.3.1",A2:AD112,22,FALSE)),ROUND(VLOOKUP("12.3.1",A2:AD112,22,FALSE),4),0)+IF(ISNUMBER(VLOOKUP("12.4.1",A2:AD112,22,FALSE)),ROUND(VLOOKUP("12.4.1",A2:AD112,22,FALSE),4),0))</f>
        <v>0</v>
      </c>
      <c r="W83" s="9">
        <f>(IF(ISNUMBER(VLOOKUP("12.3",A2:AD112,23,FALSE)),ROUND(VLOOKUP("12.3",A2:AD112,23,FALSE),4),0)+IF(ISNUMBER(VLOOKUP("12.4",A2:AD112,23,FALSE)),ROUND(VLOOKUP("12.4",A2:AD112,23,FALSE),4),0))-(IF(ISNUMBER(VLOOKUP("12.3.1",A2:AD112,23,FALSE)),ROUND(VLOOKUP("12.3.1",A2:AD112,23,FALSE),4),0)+IF(ISNUMBER(VLOOKUP("12.4.1",A2:AD112,23,FALSE)),ROUND(VLOOKUP("12.4.1",A2:AD112,23,FALSE),4),0))</f>
        <v>0</v>
      </c>
      <c r="X83" s="9">
        <f>(IF(ISNUMBER(VLOOKUP("12.3",A2:AD112,24,FALSE)),ROUND(VLOOKUP("12.3",A2:AD112,24,FALSE),4),0)+IF(ISNUMBER(VLOOKUP("12.4",A2:AD112,24,FALSE)),ROUND(VLOOKUP("12.4",A2:AD112,24,FALSE),4),0))-(IF(ISNUMBER(VLOOKUP("12.3.1",A2:AD112,24,FALSE)),ROUND(VLOOKUP("12.3.1",A2:AD112,24,FALSE),4),0)+IF(ISNUMBER(VLOOKUP("12.4.1",A2:AD112,24,FALSE)),ROUND(VLOOKUP("12.4.1",A2:AD112,24,FALSE),4),0))</f>
        <v>0</v>
      </c>
      <c r="Y83" s="9">
        <f>(IF(ISNUMBER(VLOOKUP("12.3",A2:AD112,25,FALSE)),ROUND(VLOOKUP("12.3",A2:AD112,25,FALSE),4),0)+IF(ISNUMBER(VLOOKUP("12.4",A2:AD112,25,FALSE)),ROUND(VLOOKUP("12.4",A2:AD112,25,FALSE),4),0))-(IF(ISNUMBER(VLOOKUP("12.3.1",A2:AD112,25,FALSE)),ROUND(VLOOKUP("12.3.1",A2:AD112,25,FALSE),4),0)+IF(ISNUMBER(VLOOKUP("12.4.1",A2:AD112,25,FALSE)),ROUND(VLOOKUP("12.4.1",A2:AD112,25,FALSE),4),0))</f>
        <v>0</v>
      </c>
      <c r="Z83" s="9">
        <f>(IF(ISNUMBER(VLOOKUP("12.3",A2:AD112,26,FALSE)),ROUND(VLOOKUP("12.3",A2:AD112,26,FALSE),4),0)+IF(ISNUMBER(VLOOKUP("12.4",A2:AD112,26,FALSE)),ROUND(VLOOKUP("12.4",A2:AD112,26,FALSE),4),0))-(IF(ISNUMBER(VLOOKUP("12.3.1",A2:AD112,26,FALSE)),ROUND(VLOOKUP("12.3.1",A2:AD112,26,FALSE),4),0)+IF(ISNUMBER(VLOOKUP("12.4.1",A2:AD112,26,FALSE)),ROUND(VLOOKUP("12.4.1",A2:AD112,26,FALSE),4),0))</f>
        <v>0</v>
      </c>
      <c r="AA83" s="9">
        <f>(IF(ISNUMBER(VLOOKUP("12.3",A2:AD112,27,FALSE)),ROUND(VLOOKUP("12.3",A2:AD112,27,FALSE),4),0)+IF(ISNUMBER(VLOOKUP("12.4",A2:AD112,27,FALSE)),ROUND(VLOOKUP("12.4",A2:AD112,27,FALSE),4),0))-(IF(ISNUMBER(VLOOKUP("12.3.1",A2:AD112,27,FALSE)),ROUND(VLOOKUP("12.3.1",A2:AD112,27,FALSE),4),0)+IF(ISNUMBER(VLOOKUP("12.4.1",A2:AD112,27,FALSE)),ROUND(VLOOKUP("12.4.1",A2:AD112,27,FALSE),4),0))</f>
        <v>0</v>
      </c>
      <c r="AB83" s="9">
        <f>(IF(ISNUMBER(VLOOKUP("12.3",A2:AD112,28,FALSE)),ROUND(VLOOKUP("12.3",A2:AD112,28,FALSE),4),0)+IF(ISNUMBER(VLOOKUP("12.4",A2:AD112,28,FALSE)),ROUND(VLOOKUP("12.4",A2:AD112,28,FALSE),4),0))-(IF(ISNUMBER(VLOOKUP("12.3.1",A2:AD112,28,FALSE)),ROUND(VLOOKUP("12.3.1",A2:AD112,28,FALSE),4),0)+IF(ISNUMBER(VLOOKUP("12.4.1",A2:AD112,28,FALSE)),ROUND(VLOOKUP("12.4.1",A2:AD112,28,FALSE),4),0))</f>
        <v>0</v>
      </c>
      <c r="AC83" s="9">
        <f>(IF(ISNUMBER(VLOOKUP("12.3",A2:AD112,29,FALSE)),ROUND(VLOOKUP("12.3",A2:AD112,29,FALSE),4),0)+IF(ISNUMBER(VLOOKUP("12.4",A2:AD112,29,FALSE)),ROUND(VLOOKUP("12.4",A2:AD112,29,FALSE),4),0))-(IF(ISNUMBER(VLOOKUP("12.3.1",A2:AD112,29,FALSE)),ROUND(VLOOKUP("12.3.1",A2:AD112,29,FALSE),4),0)+IF(ISNUMBER(VLOOKUP("12.4.1",A2:AD112,29,FALSE)),ROUND(VLOOKUP("12.4.1",A2:AD112,29,FALSE),4),0))</f>
        <v>0</v>
      </c>
      <c r="AD83" s="9">
        <f>(IF(ISNUMBER(VLOOKUP("12.3",A2:AD112,30,FALSE)),ROUND(VLOOKUP("12.3",A2:AD112,30,FALSE),4),0)+IF(ISNUMBER(VLOOKUP("12.4",A2:AD112,30,FALSE)),ROUND(VLOOKUP("12.4",A2:AD112,30,FALSE),4),0))-(IF(ISNUMBER(VLOOKUP("12.3.1",A2:AD112,30,FALSE)),ROUND(VLOOKUP("12.3.1",A2:AD112,30,FALSE),4),0)+IF(ISNUMBER(VLOOKUP("12.4.1",A2:AD112,30,FALSE)),ROUND(VLOOKUP("12.4.1",A2:AD112,30,FALSE),4),0))</f>
        <v>0</v>
      </c>
    </row>
    <row r="84" spans="1:30" ht="27" customHeight="1" x14ac:dyDescent="0.25">
      <c r="A84" s="5" t="s">
        <v>187</v>
      </c>
      <c r="B84" s="6" t="s">
        <v>188</v>
      </c>
      <c r="C84" s="7">
        <v>0</v>
      </c>
      <c r="D84" s="7">
        <v>0</v>
      </c>
      <c r="E84" s="7">
        <v>0</v>
      </c>
      <c r="F84" s="7">
        <v>0</v>
      </c>
      <c r="G84" s="8">
        <v>10032695.140000001</v>
      </c>
      <c r="H84" s="8">
        <v>19478288.170000002</v>
      </c>
      <c r="I84" s="8">
        <v>17329913.710000001</v>
      </c>
      <c r="J84" s="8">
        <v>17089368.989999998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</row>
    <row r="85" spans="1:30" ht="52.9" customHeight="1" x14ac:dyDescent="0.25">
      <c r="A85" s="5" t="s">
        <v>189</v>
      </c>
      <c r="B85" s="6" t="s">
        <v>190</v>
      </c>
      <c r="C85" s="7">
        <v>3121862.75</v>
      </c>
      <c r="D85" s="7">
        <v>1954287.67</v>
      </c>
      <c r="E85" s="7">
        <v>3421313.06</v>
      </c>
      <c r="F85" s="7">
        <v>3421313.06</v>
      </c>
      <c r="G85" s="8">
        <v>3809447.78</v>
      </c>
      <c r="H85" s="8">
        <v>564675.69999999995</v>
      </c>
      <c r="I85" s="8">
        <v>240544.72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</row>
    <row r="86" spans="1:30" ht="27" customHeight="1" x14ac:dyDescent="0.25">
      <c r="A86" s="5" t="s">
        <v>191</v>
      </c>
      <c r="B86" s="6" t="s">
        <v>188</v>
      </c>
      <c r="C86" s="7">
        <v>696441.78</v>
      </c>
      <c r="D86" s="7">
        <v>0</v>
      </c>
      <c r="E86" s="7">
        <v>0</v>
      </c>
      <c r="F86" s="7">
        <v>0</v>
      </c>
      <c r="G86" s="8">
        <v>3809447.78</v>
      </c>
      <c r="H86" s="8">
        <v>564675.69999999995</v>
      </c>
      <c r="I86" s="8">
        <v>240544.72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</row>
    <row r="87" spans="1:30" ht="65.650000000000006" customHeight="1" x14ac:dyDescent="0.25">
      <c r="A87" s="5" t="s">
        <v>192</v>
      </c>
      <c r="B87" s="6" t="s">
        <v>193</v>
      </c>
      <c r="C87" s="7">
        <v>0</v>
      </c>
      <c r="D87" s="7">
        <v>0</v>
      </c>
      <c r="E87" s="7">
        <v>0</v>
      </c>
      <c r="F87" s="7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</row>
    <row r="88" spans="1:30" ht="27" customHeight="1" x14ac:dyDescent="0.25">
      <c r="A88" s="5" t="s">
        <v>194</v>
      </c>
      <c r="B88" s="6" t="s">
        <v>188</v>
      </c>
      <c r="C88" s="7">
        <v>0</v>
      </c>
      <c r="D88" s="7">
        <v>0</v>
      </c>
      <c r="E88" s="7">
        <v>0</v>
      </c>
      <c r="F88" s="7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</row>
    <row r="89" spans="1:30" ht="65.650000000000006" customHeight="1" x14ac:dyDescent="0.25">
      <c r="A89" s="5" t="s">
        <v>195</v>
      </c>
      <c r="B89" s="6" t="s">
        <v>196</v>
      </c>
      <c r="C89" s="7">
        <v>0</v>
      </c>
      <c r="D89" s="7">
        <v>1345301.5</v>
      </c>
      <c r="E89" s="7">
        <v>3421313.06</v>
      </c>
      <c r="F89" s="7">
        <v>3421313.06</v>
      </c>
      <c r="G89" s="8">
        <v>3266799.37</v>
      </c>
      <c r="H89" s="8">
        <v>564675.69999999995</v>
      </c>
      <c r="I89" s="8">
        <v>240544.72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</row>
    <row r="90" spans="1:30" ht="27" customHeight="1" x14ac:dyDescent="0.25">
      <c r="A90" s="5" t="s">
        <v>197</v>
      </c>
      <c r="B90" s="6" t="s">
        <v>188</v>
      </c>
      <c r="C90" s="7">
        <v>0</v>
      </c>
      <c r="D90" s="7">
        <v>0</v>
      </c>
      <c r="E90" s="7">
        <v>0</v>
      </c>
      <c r="F90" s="7">
        <v>0</v>
      </c>
      <c r="G90" s="8">
        <v>3266799.37</v>
      </c>
      <c r="H90" s="8">
        <v>564675.69999999995</v>
      </c>
      <c r="I90" s="8">
        <v>240544.72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</row>
    <row r="91" spans="1:30" ht="39.950000000000003" customHeight="1" x14ac:dyDescent="0.25">
      <c r="A91" s="2" t="s">
        <v>198</v>
      </c>
      <c r="B91" s="3" t="s">
        <v>199</v>
      </c>
      <c r="C91" s="23" t="s">
        <v>65</v>
      </c>
      <c r="D91" s="23" t="s">
        <v>65</v>
      </c>
      <c r="E91" s="23" t="s">
        <v>65</v>
      </c>
      <c r="F91" s="23" t="s">
        <v>65</v>
      </c>
      <c r="G91" s="23" t="s">
        <v>65</v>
      </c>
      <c r="H91" s="23" t="s">
        <v>65</v>
      </c>
      <c r="I91" s="23" t="s">
        <v>65</v>
      </c>
      <c r="J91" s="23" t="s">
        <v>65</v>
      </c>
      <c r="K91" s="23" t="s">
        <v>65</v>
      </c>
      <c r="L91" s="23" t="s">
        <v>65</v>
      </c>
      <c r="M91" s="23" t="s">
        <v>65</v>
      </c>
      <c r="N91" s="23" t="s">
        <v>65</v>
      </c>
      <c r="O91" s="23" t="s">
        <v>65</v>
      </c>
      <c r="P91" s="23" t="s">
        <v>65</v>
      </c>
      <c r="Q91" s="23" t="s">
        <v>65</v>
      </c>
      <c r="R91" s="23" t="s">
        <v>65</v>
      </c>
      <c r="S91" s="23" t="s">
        <v>65</v>
      </c>
      <c r="T91" s="23" t="s">
        <v>65</v>
      </c>
      <c r="U91" s="23" t="s">
        <v>65</v>
      </c>
      <c r="V91" s="23" t="s">
        <v>65</v>
      </c>
      <c r="W91" s="23" t="s">
        <v>65</v>
      </c>
      <c r="X91" s="23" t="s">
        <v>65</v>
      </c>
      <c r="Y91" s="23" t="s">
        <v>65</v>
      </c>
      <c r="Z91" s="23" t="s">
        <v>65</v>
      </c>
      <c r="AA91" s="23" t="s">
        <v>65</v>
      </c>
      <c r="AB91" s="23" t="s">
        <v>65</v>
      </c>
      <c r="AC91" s="23" t="s">
        <v>65</v>
      </c>
      <c r="AD91" s="23" t="s">
        <v>65</v>
      </c>
    </row>
    <row r="92" spans="1:30" ht="39.950000000000003" hidden="1" customHeight="1" x14ac:dyDescent="0.25">
      <c r="A92" s="5" t="s">
        <v>200</v>
      </c>
      <c r="B92" s="6" t="s">
        <v>201</v>
      </c>
      <c r="C92" s="7">
        <v>0</v>
      </c>
      <c r="D92" s="7">
        <v>0</v>
      </c>
      <c r="E92" s="7">
        <v>0</v>
      </c>
      <c r="F92" s="7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</row>
    <row r="93" spans="1:30" ht="52.9" hidden="1" customHeight="1" x14ac:dyDescent="0.25">
      <c r="A93" s="5" t="s">
        <v>202</v>
      </c>
      <c r="B93" s="6" t="s">
        <v>203</v>
      </c>
      <c r="C93" s="7">
        <v>0</v>
      </c>
      <c r="D93" s="7">
        <v>0</v>
      </c>
      <c r="E93" s="7">
        <v>0</v>
      </c>
      <c r="F93" s="7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</row>
    <row r="94" spans="1:30" ht="27" hidden="1" customHeight="1" x14ac:dyDescent="0.25">
      <c r="A94" s="5" t="s">
        <v>204</v>
      </c>
      <c r="B94" s="6" t="s">
        <v>205</v>
      </c>
      <c r="C94" s="7">
        <v>0</v>
      </c>
      <c r="D94" s="7">
        <v>0</v>
      </c>
      <c r="E94" s="7">
        <v>0</v>
      </c>
      <c r="F94" s="7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</row>
    <row r="95" spans="1:30" ht="39.950000000000003" hidden="1" customHeight="1" x14ac:dyDescent="0.25">
      <c r="A95" s="5" t="s">
        <v>206</v>
      </c>
      <c r="B95" s="6" t="s">
        <v>207</v>
      </c>
      <c r="C95" s="7">
        <v>0</v>
      </c>
      <c r="D95" s="7">
        <v>0</v>
      </c>
      <c r="E95" s="7">
        <v>0</v>
      </c>
      <c r="F95" s="7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</row>
    <row r="96" spans="1:30" ht="39.950000000000003" hidden="1" customHeight="1" x14ac:dyDescent="0.25">
      <c r="A96" s="5" t="s">
        <v>208</v>
      </c>
      <c r="B96" s="6" t="s">
        <v>209</v>
      </c>
      <c r="C96" s="7">
        <v>0</v>
      </c>
      <c r="D96" s="7">
        <v>0</v>
      </c>
      <c r="E96" s="7">
        <v>0</v>
      </c>
      <c r="F96" s="7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</row>
    <row r="97" spans="1:30" ht="39.950000000000003" hidden="1" customHeight="1" x14ac:dyDescent="0.25">
      <c r="A97" s="5" t="s">
        <v>210</v>
      </c>
      <c r="B97" s="6" t="s">
        <v>211</v>
      </c>
      <c r="C97" s="7">
        <v>0</v>
      </c>
      <c r="D97" s="7">
        <v>0</v>
      </c>
      <c r="E97" s="7">
        <v>0</v>
      </c>
      <c r="F97" s="7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</row>
    <row r="98" spans="1:30" ht="27" hidden="1" customHeight="1" x14ac:dyDescent="0.25">
      <c r="A98" s="5" t="s">
        <v>212</v>
      </c>
      <c r="B98" s="6" t="s">
        <v>213</v>
      </c>
      <c r="C98" s="7">
        <v>0</v>
      </c>
      <c r="D98" s="7">
        <v>0</v>
      </c>
      <c r="E98" s="7">
        <v>0</v>
      </c>
      <c r="F98" s="7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</row>
    <row r="99" spans="1:30" ht="14.25" customHeight="1" x14ac:dyDescent="0.25">
      <c r="A99" s="2" t="s">
        <v>214</v>
      </c>
      <c r="B99" s="3" t="s">
        <v>215</v>
      </c>
      <c r="C99" s="23" t="s">
        <v>65</v>
      </c>
      <c r="D99" s="23" t="s">
        <v>65</v>
      </c>
      <c r="E99" s="23" t="s">
        <v>65</v>
      </c>
      <c r="F99" s="23" t="s">
        <v>65</v>
      </c>
      <c r="G99" s="23" t="s">
        <v>65</v>
      </c>
      <c r="H99" s="23" t="s">
        <v>65</v>
      </c>
      <c r="I99" s="23" t="s">
        <v>65</v>
      </c>
      <c r="J99" s="23" t="s">
        <v>65</v>
      </c>
      <c r="K99" s="23" t="s">
        <v>65</v>
      </c>
      <c r="L99" s="23" t="s">
        <v>65</v>
      </c>
      <c r="M99" s="23" t="s">
        <v>65</v>
      </c>
      <c r="N99" s="23" t="s">
        <v>65</v>
      </c>
      <c r="O99" s="23" t="s">
        <v>65</v>
      </c>
      <c r="P99" s="23" t="s">
        <v>65</v>
      </c>
      <c r="Q99" s="23" t="s">
        <v>65</v>
      </c>
      <c r="R99" s="23" t="s">
        <v>65</v>
      </c>
      <c r="S99" s="23" t="s">
        <v>65</v>
      </c>
      <c r="T99" s="23" t="s">
        <v>65</v>
      </c>
      <c r="U99" s="23" t="s">
        <v>65</v>
      </c>
      <c r="V99" s="23" t="s">
        <v>65</v>
      </c>
      <c r="W99" s="23" t="s">
        <v>65</v>
      </c>
      <c r="X99" s="23" t="s">
        <v>65</v>
      </c>
      <c r="Y99" s="23" t="s">
        <v>65</v>
      </c>
      <c r="Z99" s="23" t="s">
        <v>65</v>
      </c>
      <c r="AA99" s="23" t="s">
        <v>65</v>
      </c>
      <c r="AB99" s="23" t="s">
        <v>65</v>
      </c>
      <c r="AC99" s="23" t="s">
        <v>65</v>
      </c>
      <c r="AD99" s="23" t="s">
        <v>65</v>
      </c>
    </row>
    <row r="100" spans="1:30" ht="39.950000000000003" customHeight="1" x14ac:dyDescent="0.25">
      <c r="A100" s="5" t="s">
        <v>216</v>
      </c>
      <c r="B100" s="6" t="s">
        <v>217</v>
      </c>
      <c r="C100" s="9">
        <v>812090</v>
      </c>
      <c r="D100" s="9">
        <v>812090</v>
      </c>
      <c r="E100" s="9">
        <v>1675088.18</v>
      </c>
      <c r="F100" s="9">
        <v>1675088.18</v>
      </c>
      <c r="G100" s="9">
        <v>2599815</v>
      </c>
      <c r="H100" s="9">
        <v>2726860</v>
      </c>
      <c r="I100" s="9">
        <v>2275860</v>
      </c>
      <c r="J100" s="9">
        <v>2369860</v>
      </c>
      <c r="K100" s="9">
        <v>2615860</v>
      </c>
      <c r="L100" s="9">
        <v>2394860</v>
      </c>
      <c r="M100" s="9">
        <v>2466757.71</v>
      </c>
      <c r="N100" s="9">
        <v>1932770</v>
      </c>
      <c r="O100" s="9">
        <v>1982770</v>
      </c>
      <c r="P100" s="9">
        <v>1958192.5</v>
      </c>
      <c r="Q100" s="9">
        <v>2016000</v>
      </c>
      <c r="R100" s="9">
        <v>1630000</v>
      </c>
      <c r="S100" s="9">
        <v>888000</v>
      </c>
      <c r="T100" s="9">
        <v>500000</v>
      </c>
      <c r="U100" s="9">
        <v>571000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</row>
    <row r="101" spans="1:30" ht="27" customHeight="1" x14ac:dyDescent="0.25">
      <c r="A101" s="5" t="s">
        <v>218</v>
      </c>
      <c r="B101" s="6" t="s">
        <v>219</v>
      </c>
      <c r="C101" s="9">
        <v>27300</v>
      </c>
      <c r="D101" s="9">
        <v>159100</v>
      </c>
      <c r="E101" s="9">
        <v>2769833.31</v>
      </c>
      <c r="F101" s="9">
        <v>2769833.31</v>
      </c>
      <c r="G101" s="9">
        <v>2077374.99</v>
      </c>
      <c r="H101" s="9">
        <v>1384916.67</v>
      </c>
      <c r="I101" s="9">
        <v>692458.35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</row>
    <row r="102" spans="1:30" ht="14.25" customHeight="1" x14ac:dyDescent="0.25">
      <c r="A102" s="5" t="s">
        <v>220</v>
      </c>
      <c r="B102" s="6" t="s">
        <v>221</v>
      </c>
      <c r="C102" s="9">
        <f>IF(ISNUMBER(VLOOKUP("14.3.1",A2:AD112,3,FALSE)),ROUND(VLOOKUP("14.3.1",A2:AD112,3,FALSE),4),0) + IF(ISNUMBER(VLOOKUP("14.3.2",A2:AD112,3,FALSE)),ROUND(VLOOKUP("14.3.2",A2:AD112,3,FALSE),4),0) + IF(ISNUMBER(VLOOKUP("14.3.3",A2:AD112,3,FALSE)),ROUND(VLOOKUP("14.3.3",A2:AD112,3,FALSE),4),0)</f>
        <v>96078.399999999994</v>
      </c>
      <c r="D102" s="9">
        <f>IF(ISNUMBER(VLOOKUP("14.3.1",A2:AD112,4,FALSE)),ROUND(VLOOKUP("14.3.1",A2:AD112,4,FALSE),4),0) + IF(ISNUMBER(VLOOKUP("14.3.2",A2:AD112,4,FALSE)),ROUND(VLOOKUP("14.3.2",A2:AD112,4,FALSE),4),0) + IF(ISNUMBER(VLOOKUP("14.3.3",A2:AD112,4,FALSE)),ROUND(VLOOKUP("14.3.3",A2:AD112,4,FALSE),4),0)</f>
        <v>27300</v>
      </c>
      <c r="E102" s="9">
        <f>IF(ISNUMBER(VLOOKUP("14.3.1",A2:AD112,5,FALSE)),ROUND(VLOOKUP("14.3.1",A2:AD112,5,FALSE),4),0) + IF(ISNUMBER(VLOOKUP("14.3.2",A2:AD112,5,FALSE)),ROUND(VLOOKUP("14.3.2",A2:AD112,5,FALSE),4),0) + IF(ISNUMBER(VLOOKUP("14.3.3",A2:AD112,5,FALSE)),ROUND(VLOOKUP("14.3.3",A2:AD112,5,FALSE),4),0)</f>
        <v>159100</v>
      </c>
      <c r="F102" s="9">
        <f>IF(ISNUMBER(VLOOKUP("14.3.1",A2:AD112,6,FALSE)),ROUND(VLOOKUP("14.3.1",A2:AD112,6,FALSE),4),0) + IF(ISNUMBER(VLOOKUP("14.3.2",A2:AD112,6,FALSE)),ROUND(VLOOKUP("14.3.2",A2:AD112,6,FALSE),4),0) + IF(ISNUMBER(VLOOKUP("14.3.3",A2:AD112,6,FALSE)),ROUND(VLOOKUP("14.3.3",A2:AD112,6,FALSE),4),0)</f>
        <v>159100</v>
      </c>
      <c r="G102" s="9">
        <f>IF(ISNUMBER(VLOOKUP("14.3.1",A2:AD112,7,FALSE)),ROUND(VLOOKUP("14.3.1",A2:AD112,7,FALSE),4),0) + IF(ISNUMBER(VLOOKUP("14.3.2",A2:AD112,7,FALSE)),ROUND(VLOOKUP("14.3.2",A2:AD112,7,FALSE),4),0) + IF(ISNUMBER(VLOOKUP("14.3.3",A2:AD112,7,FALSE)),ROUND(VLOOKUP("14.3.3",A2:AD112,7,FALSE),4),0)</f>
        <v>692458.32</v>
      </c>
      <c r="H102" s="9">
        <f>IF(ISNUMBER(VLOOKUP("14.3.1",A2:AD112,8,FALSE)),ROUND(VLOOKUP("14.3.1",A2:AD112,8,FALSE),4),0) + IF(ISNUMBER(VLOOKUP("14.3.2",A2:AD112,8,FALSE)),ROUND(VLOOKUP("14.3.2",A2:AD112,8,FALSE),4),0) + IF(ISNUMBER(VLOOKUP("14.3.3",A2:AD112,8,FALSE)),ROUND(VLOOKUP("14.3.3",A2:AD112,8,FALSE),4),0)</f>
        <v>692458.32</v>
      </c>
      <c r="I102" s="9">
        <f>IF(ISNUMBER(VLOOKUP("14.3.1",A2:AD112,9,FALSE)),ROUND(VLOOKUP("14.3.1",A2:AD112,9,FALSE),4),0) + IF(ISNUMBER(VLOOKUP("14.3.2",A2:AD112,9,FALSE)),ROUND(VLOOKUP("14.3.2",A2:AD112,9,FALSE),4),0) + IF(ISNUMBER(VLOOKUP("14.3.3",A2:AD112,9,FALSE)),ROUND(VLOOKUP("14.3.3",A2:AD112,9,FALSE),4),0)</f>
        <v>692458.32</v>
      </c>
      <c r="J102" s="9">
        <f>IF(ISNUMBER(VLOOKUP("14.3.1",A2:AD112,10,FALSE)),ROUND(VLOOKUP("14.3.1",A2:AD112,10,FALSE),4),0) + IF(ISNUMBER(VLOOKUP("14.3.2",A2:AD112,10,FALSE)),ROUND(VLOOKUP("14.3.2",A2:AD112,10,FALSE),4),0) + IF(ISNUMBER(VLOOKUP("14.3.3",A2:AD112,10,FALSE)),ROUND(VLOOKUP("14.3.3",A2:AD112,10,FALSE),4),0)</f>
        <v>692458.35</v>
      </c>
      <c r="K102" s="9">
        <f>IF(ISNUMBER(VLOOKUP("14.3.1",A2:AD112,11,FALSE)),ROUND(VLOOKUP("14.3.1",A2:AD112,11,FALSE),4),0) + IF(ISNUMBER(VLOOKUP("14.3.2",A2:AD112,11,FALSE)),ROUND(VLOOKUP("14.3.2",A2:AD112,11,FALSE),4),0) + IF(ISNUMBER(VLOOKUP("14.3.3",A2:AD112,11,FALSE)),ROUND(VLOOKUP("14.3.3",A2:AD112,11,FALSE),4),0)</f>
        <v>0</v>
      </c>
      <c r="L102" s="9">
        <f>IF(ISNUMBER(VLOOKUP("14.3.1",A2:AD112,12,FALSE)),ROUND(VLOOKUP("14.3.1",A2:AD112,12,FALSE),4),0) + IF(ISNUMBER(VLOOKUP("14.3.2",A2:AD112,12,FALSE)),ROUND(VLOOKUP("14.3.2",A2:AD112,12,FALSE),4),0) + IF(ISNUMBER(VLOOKUP("14.3.3",A2:AD112,12,FALSE)),ROUND(VLOOKUP("14.3.3",A2:AD112,12,FALSE),4),0)</f>
        <v>0</v>
      </c>
      <c r="M102" s="9">
        <f>IF(ISNUMBER(VLOOKUP("14.3.1",A2:AD112,13,FALSE)),ROUND(VLOOKUP("14.3.1",A2:AD112,13,FALSE),4),0) + IF(ISNUMBER(VLOOKUP("14.3.2",A2:AD112,13,FALSE)),ROUND(VLOOKUP("14.3.2",A2:AD112,13,FALSE),4),0) + IF(ISNUMBER(VLOOKUP("14.3.3",A2:AD112,13,FALSE)),ROUND(VLOOKUP("14.3.3",A2:AD112,13,FALSE),4),0)</f>
        <v>0</v>
      </c>
      <c r="N102" s="9">
        <f>IF(ISNUMBER(VLOOKUP("14.3.1",A2:AD112,14,FALSE)),ROUND(VLOOKUP("14.3.1",A2:AD112,14,FALSE),4),0) + IF(ISNUMBER(VLOOKUP("14.3.2",A2:AD112,14,FALSE)),ROUND(VLOOKUP("14.3.2",A2:AD112,14,FALSE),4),0) + IF(ISNUMBER(VLOOKUP("14.3.3",A2:AD112,14,FALSE)),ROUND(VLOOKUP("14.3.3",A2:AD112,14,FALSE),4),0)</f>
        <v>0</v>
      </c>
      <c r="O102" s="9">
        <f>IF(ISNUMBER(VLOOKUP("14.3.1",A2:AD112,15,FALSE)),ROUND(VLOOKUP("14.3.1",A2:AD112,15,FALSE),4),0) + IF(ISNUMBER(VLOOKUP("14.3.2",A2:AD112,15,FALSE)),ROUND(VLOOKUP("14.3.2",A2:AD112,15,FALSE),4),0) + IF(ISNUMBER(VLOOKUP("14.3.3",A2:AD112,15,FALSE)),ROUND(VLOOKUP("14.3.3",A2:AD112,15,FALSE),4),0)</f>
        <v>0</v>
      </c>
      <c r="P102" s="9">
        <f>IF(ISNUMBER(VLOOKUP("14.3.1",A2:AD112,16,FALSE)),ROUND(VLOOKUP("14.3.1",A2:AD112,16,FALSE),4),0) + IF(ISNUMBER(VLOOKUP("14.3.2",A2:AD112,16,FALSE)),ROUND(VLOOKUP("14.3.2",A2:AD112,16,FALSE),4),0) + IF(ISNUMBER(VLOOKUP("14.3.3",A2:AD112,16,FALSE)),ROUND(VLOOKUP("14.3.3",A2:AD112,16,FALSE),4),0)</f>
        <v>0</v>
      </c>
      <c r="Q102" s="9">
        <f>IF(ISNUMBER(VLOOKUP("14.3.1",A2:AD112,17,FALSE)),ROUND(VLOOKUP("14.3.1",A2:AD112,17,FALSE),4),0) + IF(ISNUMBER(VLOOKUP("14.3.2",A2:AD112,17,FALSE)),ROUND(VLOOKUP("14.3.2",A2:AD112,17,FALSE),4),0) + IF(ISNUMBER(VLOOKUP("14.3.3",A2:AD112,17,FALSE)),ROUND(VLOOKUP("14.3.3",A2:AD112,17,FALSE),4),0)</f>
        <v>0</v>
      </c>
      <c r="R102" s="9">
        <f>IF(ISNUMBER(VLOOKUP("14.3.1",A2:AD112,18,FALSE)),ROUND(VLOOKUP("14.3.1",A2:AD112,18,FALSE),4),0) + IF(ISNUMBER(VLOOKUP("14.3.2",A2:AD112,18,FALSE)),ROUND(VLOOKUP("14.3.2",A2:AD112,18,FALSE),4),0) + IF(ISNUMBER(VLOOKUP("14.3.3",A2:AD112,18,FALSE)),ROUND(VLOOKUP("14.3.3",A2:AD112,18,FALSE),4),0)</f>
        <v>0</v>
      </c>
      <c r="S102" s="9">
        <f>IF(ISNUMBER(VLOOKUP("14.3.1",A2:AD112,19,FALSE)),ROUND(VLOOKUP("14.3.1",A2:AD112,19,FALSE),4),0) + IF(ISNUMBER(VLOOKUP("14.3.2",A2:AD112,19,FALSE)),ROUND(VLOOKUP("14.3.2",A2:AD112,19,FALSE),4),0) + IF(ISNUMBER(VLOOKUP("14.3.3",A2:AD112,19,FALSE)),ROUND(VLOOKUP("14.3.3",A2:AD112,19,FALSE),4),0)</f>
        <v>0</v>
      </c>
      <c r="T102" s="9">
        <f>IF(ISNUMBER(VLOOKUP("14.3.1",A2:AD112,20,FALSE)),ROUND(VLOOKUP("14.3.1",A2:AD112,20,FALSE),4),0) + IF(ISNUMBER(VLOOKUP("14.3.2",A2:AD112,20,FALSE)),ROUND(VLOOKUP("14.3.2",A2:AD112,20,FALSE),4),0) + IF(ISNUMBER(VLOOKUP("14.3.3",A2:AD112,20,FALSE)),ROUND(VLOOKUP("14.3.3",A2:AD112,20,FALSE),4),0)</f>
        <v>0</v>
      </c>
      <c r="U102" s="9">
        <f>IF(ISNUMBER(VLOOKUP("14.3.1",A2:AD112,21,FALSE)),ROUND(VLOOKUP("14.3.1",A2:AD112,21,FALSE),4),0) + IF(ISNUMBER(VLOOKUP("14.3.2",A2:AD112,21,FALSE)),ROUND(VLOOKUP("14.3.2",A2:AD112,21,FALSE),4),0) + IF(ISNUMBER(VLOOKUP("14.3.3",A2:AD112,21,FALSE)),ROUND(VLOOKUP("14.3.3",A2:AD112,21,FALSE),4),0)</f>
        <v>0</v>
      </c>
      <c r="V102" s="9">
        <f>IF(ISNUMBER(VLOOKUP("14.3.1",A2:AD112,22,FALSE)),ROUND(VLOOKUP("14.3.1",A2:AD112,22,FALSE),4),0) + IF(ISNUMBER(VLOOKUP("14.3.2",A2:AD112,22,FALSE)),ROUND(VLOOKUP("14.3.2",A2:AD112,22,FALSE),4),0) + IF(ISNUMBER(VLOOKUP("14.3.3",A2:AD112,22,FALSE)),ROUND(VLOOKUP("14.3.3",A2:AD112,22,FALSE),4),0)</f>
        <v>0</v>
      </c>
      <c r="W102" s="9">
        <f>IF(ISNUMBER(VLOOKUP("14.3.1",A2:AD112,23,FALSE)),ROUND(VLOOKUP("14.3.1",A2:AD112,23,FALSE),4),0) + IF(ISNUMBER(VLOOKUP("14.3.2",A2:AD112,23,FALSE)),ROUND(VLOOKUP("14.3.2",A2:AD112,23,FALSE),4),0) + IF(ISNUMBER(VLOOKUP("14.3.3",A2:AD112,23,FALSE)),ROUND(VLOOKUP("14.3.3",A2:AD112,23,FALSE),4),0)</f>
        <v>0</v>
      </c>
      <c r="X102" s="9">
        <f>IF(ISNUMBER(VLOOKUP("14.3.1",A2:AD112,24,FALSE)),ROUND(VLOOKUP("14.3.1",A2:AD112,24,FALSE),4),0) + IF(ISNUMBER(VLOOKUP("14.3.2",A2:AD112,24,FALSE)),ROUND(VLOOKUP("14.3.2",A2:AD112,24,FALSE),4),0) + IF(ISNUMBER(VLOOKUP("14.3.3",A2:AD112,24,FALSE)),ROUND(VLOOKUP("14.3.3",A2:AD112,24,FALSE),4),0)</f>
        <v>0</v>
      </c>
      <c r="Y102" s="9">
        <f>IF(ISNUMBER(VLOOKUP("14.3.1",A2:AD112,25,FALSE)),ROUND(VLOOKUP("14.3.1",A2:AD112,25,FALSE),4),0) + IF(ISNUMBER(VLOOKUP("14.3.2",A2:AD112,25,FALSE)),ROUND(VLOOKUP("14.3.2",A2:AD112,25,FALSE),4),0) + IF(ISNUMBER(VLOOKUP("14.3.3",A2:AD112,25,FALSE)),ROUND(VLOOKUP("14.3.3",A2:AD112,25,FALSE),4),0)</f>
        <v>0</v>
      </c>
      <c r="Z102" s="9">
        <f>IF(ISNUMBER(VLOOKUP("14.3.1",A2:AD112,26,FALSE)),ROUND(VLOOKUP("14.3.1",A2:AD112,26,FALSE),4),0) + IF(ISNUMBER(VLOOKUP("14.3.2",A2:AD112,26,FALSE)),ROUND(VLOOKUP("14.3.2",A2:AD112,26,FALSE),4),0) + IF(ISNUMBER(VLOOKUP("14.3.3",A2:AD112,26,FALSE)),ROUND(VLOOKUP("14.3.3",A2:AD112,26,FALSE),4),0)</f>
        <v>0</v>
      </c>
      <c r="AA102" s="9">
        <f>IF(ISNUMBER(VLOOKUP("14.3.1",A2:AD112,27,FALSE)),ROUND(VLOOKUP("14.3.1",A2:AD112,27,FALSE),4),0) + IF(ISNUMBER(VLOOKUP("14.3.2",A2:AD112,27,FALSE)),ROUND(VLOOKUP("14.3.2",A2:AD112,27,FALSE),4),0) + IF(ISNUMBER(VLOOKUP("14.3.3",A2:AD112,27,FALSE)),ROUND(VLOOKUP("14.3.3",A2:AD112,27,FALSE),4),0)</f>
        <v>0</v>
      </c>
      <c r="AB102" s="9">
        <f>IF(ISNUMBER(VLOOKUP("14.3.1",A2:AD112,28,FALSE)),ROUND(VLOOKUP("14.3.1",A2:AD112,28,FALSE),4),0) + IF(ISNUMBER(VLOOKUP("14.3.2",A2:AD112,28,FALSE)),ROUND(VLOOKUP("14.3.2",A2:AD112,28,FALSE),4),0) + IF(ISNUMBER(VLOOKUP("14.3.3",A2:AD112,28,FALSE)),ROUND(VLOOKUP("14.3.3",A2:AD112,28,FALSE),4),0)</f>
        <v>0</v>
      </c>
      <c r="AC102" s="9">
        <f>IF(ISNUMBER(VLOOKUP("14.3.1",A2:AD112,29,FALSE)),ROUND(VLOOKUP("14.3.1",A2:AD112,29,FALSE),4),0) + IF(ISNUMBER(VLOOKUP("14.3.2",A2:AD112,29,FALSE)),ROUND(VLOOKUP("14.3.2",A2:AD112,29,FALSE),4),0) + IF(ISNUMBER(VLOOKUP("14.3.3",A2:AD112,29,FALSE)),ROUND(VLOOKUP("14.3.3",A2:AD112,29,FALSE),4),0)</f>
        <v>0</v>
      </c>
      <c r="AD102" s="9">
        <f>IF(ISNUMBER(VLOOKUP("14.3.1",A2:AD112,30,FALSE)),ROUND(VLOOKUP("14.3.1",A2:AD112,30,FALSE),4),0) + IF(ISNUMBER(VLOOKUP("14.3.2",A2:AD112,30,FALSE)),ROUND(VLOOKUP("14.3.2",A2:AD112,30,FALSE),4),0) + IF(ISNUMBER(VLOOKUP("14.3.3",A2:AD112,30,FALSE)),ROUND(VLOOKUP("14.3.3",A2:AD112,30,FALSE),4),0)</f>
        <v>0</v>
      </c>
    </row>
    <row r="103" spans="1:30" ht="27" customHeight="1" x14ac:dyDescent="0.25">
      <c r="A103" s="5" t="s">
        <v>222</v>
      </c>
      <c r="B103" s="6" t="s">
        <v>223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</row>
    <row r="104" spans="1:30" ht="27" customHeight="1" x14ac:dyDescent="0.25">
      <c r="A104" s="5" t="s">
        <v>224</v>
      </c>
      <c r="B104" s="6" t="s">
        <v>225</v>
      </c>
      <c r="C104" s="9">
        <v>96078.399999999994</v>
      </c>
      <c r="D104" s="9">
        <v>27300</v>
      </c>
      <c r="E104" s="9">
        <v>159100</v>
      </c>
      <c r="F104" s="9">
        <v>159100</v>
      </c>
      <c r="G104" s="9">
        <v>692458.32</v>
      </c>
      <c r="H104" s="9">
        <v>692458.32</v>
      </c>
      <c r="I104" s="9">
        <v>692458.32</v>
      </c>
      <c r="J104" s="9">
        <v>692458.35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</row>
    <row r="105" spans="1:30" ht="14.25" customHeight="1" x14ac:dyDescent="0.25">
      <c r="A105" s="5" t="s">
        <v>226</v>
      </c>
      <c r="B105" s="6" t="s">
        <v>227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</row>
    <row r="106" spans="1:30" ht="27" customHeight="1" x14ac:dyDescent="0.25">
      <c r="A106" s="5" t="s">
        <v>228</v>
      </c>
      <c r="B106" s="6" t="s">
        <v>229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</row>
    <row r="107" spans="1:30" ht="14.25" customHeight="1" x14ac:dyDescent="0.25">
      <c r="A107" s="2" t="s">
        <v>230</v>
      </c>
      <c r="B107" s="3" t="s">
        <v>231</v>
      </c>
      <c r="C107" s="23" t="s">
        <v>65</v>
      </c>
      <c r="D107" s="23" t="s">
        <v>65</v>
      </c>
      <c r="E107" s="23" t="s">
        <v>65</v>
      </c>
      <c r="F107" s="23" t="s">
        <v>65</v>
      </c>
      <c r="G107" s="23" t="s">
        <v>65</v>
      </c>
      <c r="H107" s="23" t="s">
        <v>65</v>
      </c>
      <c r="I107" s="23" t="s">
        <v>65</v>
      </c>
      <c r="J107" s="23" t="s">
        <v>65</v>
      </c>
      <c r="K107" s="23" t="s">
        <v>65</v>
      </c>
      <c r="L107" s="23" t="s">
        <v>65</v>
      </c>
      <c r="M107" s="23" t="s">
        <v>65</v>
      </c>
      <c r="N107" s="23" t="s">
        <v>65</v>
      </c>
      <c r="O107" s="23" t="s">
        <v>65</v>
      </c>
      <c r="P107" s="23" t="s">
        <v>65</v>
      </c>
      <c r="Q107" s="23" t="s">
        <v>65</v>
      </c>
      <c r="R107" s="23" t="s">
        <v>65</v>
      </c>
      <c r="S107" s="23" t="s">
        <v>65</v>
      </c>
      <c r="T107" s="23" t="s">
        <v>65</v>
      </c>
      <c r="U107" s="23" t="s">
        <v>65</v>
      </c>
      <c r="V107" s="23" t="s">
        <v>65</v>
      </c>
      <c r="W107" s="23" t="s">
        <v>65</v>
      </c>
      <c r="X107" s="23" t="s">
        <v>65</v>
      </c>
      <c r="Y107" s="23" t="s">
        <v>65</v>
      </c>
      <c r="Z107" s="23" t="s">
        <v>65</v>
      </c>
      <c r="AA107" s="23" t="s">
        <v>65</v>
      </c>
      <c r="AB107" s="23" t="s">
        <v>65</v>
      </c>
      <c r="AC107" s="23" t="s">
        <v>65</v>
      </c>
      <c r="AD107" s="23" t="s">
        <v>65</v>
      </c>
    </row>
    <row r="108" spans="1:30" ht="27" hidden="1" customHeight="1" x14ac:dyDescent="0.25">
      <c r="A108" s="5" t="s">
        <v>232</v>
      </c>
      <c r="B108" s="6" t="s">
        <v>233</v>
      </c>
      <c r="C108" s="7">
        <v>0</v>
      </c>
      <c r="D108" s="7">
        <v>0</v>
      </c>
      <c r="E108" s="7">
        <v>0</v>
      </c>
      <c r="F108" s="7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</row>
    <row r="109" spans="1:30" ht="14.25" hidden="1" customHeight="1" x14ac:dyDescent="0.25">
      <c r="A109" s="5" t="s">
        <v>234</v>
      </c>
      <c r="B109" s="6" t="s">
        <v>235</v>
      </c>
      <c r="C109" s="7">
        <v>0</v>
      </c>
      <c r="D109" s="7">
        <v>0</v>
      </c>
      <c r="E109" s="7">
        <v>0</v>
      </c>
      <c r="F109" s="7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</row>
    <row r="110" spans="1:30" ht="39.950000000000003" hidden="1" customHeight="1" x14ac:dyDescent="0.25">
      <c r="A110" s="5" t="s">
        <v>236</v>
      </c>
      <c r="B110" s="6" t="s">
        <v>237</v>
      </c>
      <c r="C110" s="7">
        <v>0</v>
      </c>
      <c r="D110" s="7">
        <v>0</v>
      </c>
      <c r="E110" s="7">
        <v>0</v>
      </c>
      <c r="F110" s="7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</row>
    <row r="111" spans="1:30" hidden="1" x14ac:dyDescent="0.25">
      <c r="A111" s="20" t="s">
        <v>238</v>
      </c>
      <c r="B111" s="21" t="s">
        <v>239</v>
      </c>
      <c r="C111" s="22">
        <f>IF(ISNUMBER(VLOOKUP("3",A2:AD112,3,FALSE)),ROUND(VLOOKUP("3",A2:AD112,3,FALSE),4),0) + IF(ISNUMBER(VLOOKUP("4",A2:AD112,3,FALSE)),ROUND(VLOOKUP("4",A2:AD112,3,FALSE),4),0) - IF(ISNUMBER(VLOOKUP("5",A2:AD112,3,FALSE)),ROUND(VLOOKUP("5",A2:AD112,3,FALSE),4),0)</f>
        <v>2799853.7</v>
      </c>
      <c r="D111" s="22">
        <f>IF(ISNUMBER(VLOOKUP("3",A2:AD112,4,FALSE)),ROUND(VLOOKUP("3",A2:AD112,4,FALSE),4),0) + IF(ISNUMBER(VLOOKUP("4",A2:AD112,4,FALSE)),ROUND(VLOOKUP("4",A2:AD112,4,FALSE),4),0) - IF(ISNUMBER(VLOOKUP("5",A2:AD112,4,FALSE)),ROUND(VLOOKUP("5",A2:AD112,4,FALSE),4),0)</f>
        <v>3336642.2600000002</v>
      </c>
      <c r="E111" s="22">
        <f>IF(ISNUMBER(VLOOKUP("3",A2:AD112,5,FALSE)),ROUND(VLOOKUP("3",A2:AD112,5,FALSE),4),0) + IF(ISNUMBER(VLOOKUP("4",A2:AD112,5,FALSE)),ROUND(VLOOKUP("4",A2:AD112,5,FALSE),4),0) - IF(ISNUMBER(VLOOKUP("5",A2:AD112,5,FALSE)),ROUND(VLOOKUP("5",A2:AD112,5,FALSE),4),0)</f>
        <v>-1887181.7899999993</v>
      </c>
      <c r="F111" s="22">
        <f>IF(ISNUMBER(VLOOKUP("3",A2:AD112,6,FALSE)),ROUND(VLOOKUP("3",A2:AD112,6,FALSE),4),0) + IF(ISNUMBER(VLOOKUP("4",A2:AD112,6,FALSE)),ROUND(VLOOKUP("4",A2:AD112,6,FALSE),4),0) - IF(ISNUMBER(VLOOKUP("5",A2:AD112,6,FALSE)),ROUND(VLOOKUP("5",A2:AD112,6,FALSE),4),0)</f>
        <v>692063.15999999992</v>
      </c>
      <c r="G111" s="22">
        <f>IF(ISNUMBER(VLOOKUP("3",A2:AD112,7,FALSE)),ROUND(VLOOKUP("3",A2:AD112,7,FALSE),4),0) + IF(ISNUMBER(VLOOKUP("4",A2:AD112,7,FALSE)),ROUND(VLOOKUP("4",A2:AD112,7,FALSE),4),0) - IF(ISNUMBER(VLOOKUP("5",A2:AD112,7,FALSE)),ROUND(VLOOKUP("5",A2:AD112,7,FALSE),4),0)</f>
        <v>0</v>
      </c>
      <c r="H111" s="22">
        <f>IF(ISNUMBER(VLOOKUP("3",A2:AD112,8,FALSE)),ROUND(VLOOKUP("3",A2:AD112,8,FALSE),4),0) + IF(ISNUMBER(VLOOKUP("4",A2:AD112,8,FALSE)),ROUND(VLOOKUP("4",A2:AD112,8,FALSE),4),0) - IF(ISNUMBER(VLOOKUP("5",A2:AD112,8,FALSE)),ROUND(VLOOKUP("5",A2:AD112,8,FALSE),4),0)</f>
        <v>0</v>
      </c>
      <c r="I111" s="22">
        <f>IF(ISNUMBER(VLOOKUP("3",A2:AD112,9,FALSE)),ROUND(VLOOKUP("3",A2:AD112,9,FALSE),4),0) + IF(ISNUMBER(VLOOKUP("4",A2:AD112,9,FALSE)),ROUND(VLOOKUP("4",A2:AD112,9,FALSE),4),0) - IF(ISNUMBER(VLOOKUP("5",A2:AD112,9,FALSE)),ROUND(VLOOKUP("5",A2:AD112,9,FALSE),4),0)</f>
        <v>0</v>
      </c>
      <c r="J111" s="22">
        <f>IF(ISNUMBER(VLOOKUP("3",A2:AD112,10,FALSE)),ROUND(VLOOKUP("3",A2:AD112,10,FALSE),4),0) + IF(ISNUMBER(VLOOKUP("4",A2:AD112,10,FALSE)),ROUND(VLOOKUP("4",A2:AD112,10,FALSE),4),0) - IF(ISNUMBER(VLOOKUP("5",A2:AD112,10,FALSE)),ROUND(VLOOKUP("5",A2:AD112,10,FALSE),4),0)</f>
        <v>0</v>
      </c>
      <c r="K111" s="22">
        <f>IF(ISNUMBER(VLOOKUP("3",A2:AD112,11,FALSE)),ROUND(VLOOKUP("3",A2:AD112,11,FALSE),4),0) + IF(ISNUMBER(VLOOKUP("4",A2:AD112,11,FALSE)),ROUND(VLOOKUP("4",A2:AD112,11,FALSE),4),0) - IF(ISNUMBER(VLOOKUP("5",A2:AD112,11,FALSE)),ROUND(VLOOKUP("5",A2:AD112,11,FALSE),4),0)</f>
        <v>0</v>
      </c>
      <c r="L111" s="22">
        <f>IF(ISNUMBER(VLOOKUP("3",A2:AD112,12,FALSE)),ROUND(VLOOKUP("3",A2:AD112,12,FALSE),4),0) + IF(ISNUMBER(VLOOKUP("4",A2:AD112,12,FALSE)),ROUND(VLOOKUP("4",A2:AD112,12,FALSE),4),0) - IF(ISNUMBER(VLOOKUP("5",A2:AD112,12,FALSE)),ROUND(VLOOKUP("5",A2:AD112,12,FALSE),4),0)</f>
        <v>0</v>
      </c>
      <c r="M111" s="22">
        <f>IF(ISNUMBER(VLOOKUP("3",A2:AD112,13,FALSE)),ROUND(VLOOKUP("3",A2:AD112,13,FALSE),4),0) + IF(ISNUMBER(VLOOKUP("4",A2:AD112,13,FALSE)),ROUND(VLOOKUP("4",A2:AD112,13,FALSE),4),0) - IF(ISNUMBER(VLOOKUP("5",A2:AD112,13,FALSE)),ROUND(VLOOKUP("5",A2:AD112,13,FALSE),4),0)</f>
        <v>0</v>
      </c>
      <c r="N111" s="22">
        <f>IF(ISNUMBER(VLOOKUP("3",A2:AD112,14,FALSE)),ROUND(VLOOKUP("3",A2:AD112,14,FALSE),4),0) + IF(ISNUMBER(VLOOKUP("4",A2:AD112,14,FALSE)),ROUND(VLOOKUP("4",A2:AD112,14,FALSE),4),0) - IF(ISNUMBER(VLOOKUP("5",A2:AD112,14,FALSE)),ROUND(VLOOKUP("5",A2:AD112,14,FALSE),4),0)</f>
        <v>0</v>
      </c>
      <c r="O111" s="22">
        <f>IF(ISNUMBER(VLOOKUP("3",A2:AD112,15,FALSE)),ROUND(VLOOKUP("3",A2:AD112,15,FALSE),4),0) + IF(ISNUMBER(VLOOKUP("4",A2:AD112,15,FALSE)),ROUND(VLOOKUP("4",A2:AD112,15,FALSE),4),0) - IF(ISNUMBER(VLOOKUP("5",A2:AD112,15,FALSE)),ROUND(VLOOKUP("5",A2:AD112,15,FALSE),4),0)</f>
        <v>0</v>
      </c>
      <c r="P111" s="22">
        <f>IF(ISNUMBER(VLOOKUP("3",A2:AD112,16,FALSE)),ROUND(VLOOKUP("3",A2:AD112,16,FALSE),4),0) + IF(ISNUMBER(VLOOKUP("4",A2:AD112,16,FALSE)),ROUND(VLOOKUP("4",A2:AD112,16,FALSE),4),0) - IF(ISNUMBER(VLOOKUP("5",A2:AD112,16,FALSE)),ROUND(VLOOKUP("5",A2:AD112,16,FALSE),4),0)</f>
        <v>0</v>
      </c>
      <c r="Q111" s="22">
        <f>IF(ISNUMBER(VLOOKUP("3",A2:AD112,17,FALSE)),ROUND(VLOOKUP("3",A2:AD112,17,FALSE),4),0) + IF(ISNUMBER(VLOOKUP("4",A2:AD112,17,FALSE)),ROUND(VLOOKUP("4",A2:AD112,17,FALSE),4),0) - IF(ISNUMBER(VLOOKUP("5",A2:AD112,17,FALSE)),ROUND(VLOOKUP("5",A2:AD112,17,FALSE),4),0)</f>
        <v>0</v>
      </c>
      <c r="R111" s="22">
        <f>IF(ISNUMBER(VLOOKUP("3",A2:AD112,18,FALSE)),ROUND(VLOOKUP("3",A2:AD112,18,FALSE),4),0) + IF(ISNUMBER(VLOOKUP("4",A2:AD112,18,FALSE)),ROUND(VLOOKUP("4",A2:AD112,18,FALSE),4),0) - IF(ISNUMBER(VLOOKUP("5",A2:AD112,18,FALSE)),ROUND(VLOOKUP("5",A2:AD112,18,FALSE),4),0)</f>
        <v>0</v>
      </c>
      <c r="S111" s="22">
        <f>IF(ISNUMBER(VLOOKUP("3",A2:AD112,19,FALSE)),ROUND(VLOOKUP("3",A2:AD112,19,FALSE),4),0) + IF(ISNUMBER(VLOOKUP("4",A2:AD112,19,FALSE)),ROUND(VLOOKUP("4",A2:AD112,19,FALSE),4),0) - IF(ISNUMBER(VLOOKUP("5",A2:AD112,19,FALSE)),ROUND(VLOOKUP("5",A2:AD112,19,FALSE),4),0)</f>
        <v>0</v>
      </c>
      <c r="T111" s="22">
        <f>IF(ISNUMBER(VLOOKUP("3",A2:AD112,20,FALSE)),ROUND(VLOOKUP("3",A2:AD112,20,FALSE),4),0) + IF(ISNUMBER(VLOOKUP("4",A2:AD112,20,FALSE)),ROUND(VLOOKUP("4",A2:AD112,20,FALSE),4),0) - IF(ISNUMBER(VLOOKUP("5",A2:AD112,20,FALSE)),ROUND(VLOOKUP("5",A2:AD112,20,FALSE),4),0)</f>
        <v>0</v>
      </c>
      <c r="U111" s="22">
        <f>IF(ISNUMBER(VLOOKUP("3",A2:AD112,21,FALSE)),ROUND(VLOOKUP("3",A2:AD112,21,FALSE),4),0) + IF(ISNUMBER(VLOOKUP("4",A2:AD112,21,FALSE)),ROUND(VLOOKUP("4",A2:AD112,21,FALSE),4),0) - IF(ISNUMBER(VLOOKUP("5",A2:AD112,21,FALSE)),ROUND(VLOOKUP("5",A2:AD112,21,FALSE),4),0)</f>
        <v>0</v>
      </c>
      <c r="V111" s="22">
        <f>IF(ISNUMBER(VLOOKUP("3",A2:AD112,22,FALSE)),ROUND(VLOOKUP("3",A2:AD112,22,FALSE),4),0) + IF(ISNUMBER(VLOOKUP("4",A2:AD112,22,FALSE)),ROUND(VLOOKUP("4",A2:AD112,22,FALSE),4),0) - IF(ISNUMBER(VLOOKUP("5",A2:AD112,22,FALSE)),ROUND(VLOOKUP("5",A2:AD112,22,FALSE),4),0)</f>
        <v>0</v>
      </c>
      <c r="W111" s="22">
        <f>IF(ISNUMBER(VLOOKUP("3",A2:AD112,23,FALSE)),ROUND(VLOOKUP("3",A2:AD112,23,FALSE),4),0) + IF(ISNUMBER(VLOOKUP("4",A2:AD112,23,FALSE)),ROUND(VLOOKUP("4",A2:AD112,23,FALSE),4),0) - IF(ISNUMBER(VLOOKUP("5",A2:AD112,23,FALSE)),ROUND(VLOOKUP("5",A2:AD112,23,FALSE),4),0)</f>
        <v>0</v>
      </c>
      <c r="X111" s="22">
        <f>IF(ISNUMBER(VLOOKUP("3",A2:AD112,24,FALSE)),ROUND(VLOOKUP("3",A2:AD112,24,FALSE),4),0) + IF(ISNUMBER(VLOOKUP("4",A2:AD112,24,FALSE)),ROUND(VLOOKUP("4",A2:AD112,24,FALSE),4),0) - IF(ISNUMBER(VLOOKUP("5",A2:AD112,24,FALSE)),ROUND(VLOOKUP("5",A2:AD112,24,FALSE),4),0)</f>
        <v>0</v>
      </c>
      <c r="Y111" s="22">
        <f>IF(ISNUMBER(VLOOKUP("3",A2:AD112,25,FALSE)),ROUND(VLOOKUP("3",A2:AD112,25,FALSE),4),0) + IF(ISNUMBER(VLOOKUP("4",A2:AD112,25,FALSE)),ROUND(VLOOKUP("4",A2:AD112,25,FALSE),4),0) - IF(ISNUMBER(VLOOKUP("5",A2:AD112,25,FALSE)),ROUND(VLOOKUP("5",A2:AD112,25,FALSE),4),0)</f>
        <v>0</v>
      </c>
      <c r="Z111" s="22">
        <f>IF(ISNUMBER(VLOOKUP("3",A2:AD112,26,FALSE)),ROUND(VLOOKUP("3",A2:AD112,26,FALSE),4),0) + IF(ISNUMBER(VLOOKUP("4",A2:AD112,26,FALSE)),ROUND(VLOOKUP("4",A2:AD112,26,FALSE),4),0) - IF(ISNUMBER(VLOOKUP("5",A2:AD112,26,FALSE)),ROUND(VLOOKUP("5",A2:AD112,26,FALSE),4),0)</f>
        <v>0</v>
      </c>
      <c r="AA111" s="22">
        <f>IF(ISNUMBER(VLOOKUP("3",A2:AD112,27,FALSE)),ROUND(VLOOKUP("3",A2:AD112,27,FALSE),4),0) + IF(ISNUMBER(VLOOKUP("4",A2:AD112,27,FALSE)),ROUND(VLOOKUP("4",A2:AD112,27,FALSE),4),0) - IF(ISNUMBER(VLOOKUP("5",A2:AD112,27,FALSE)),ROUND(VLOOKUP("5",A2:AD112,27,FALSE),4),0)</f>
        <v>0</v>
      </c>
      <c r="AB111" s="22">
        <f>IF(ISNUMBER(VLOOKUP("3",A2:AD112,28,FALSE)),ROUND(VLOOKUP("3",A2:AD112,28,FALSE),4),0) + IF(ISNUMBER(VLOOKUP("4",A2:AD112,28,FALSE)),ROUND(VLOOKUP("4",A2:AD112,28,FALSE),4),0) - IF(ISNUMBER(VLOOKUP("5",A2:AD112,28,FALSE)),ROUND(VLOOKUP("5",A2:AD112,28,FALSE),4),0)</f>
        <v>0</v>
      </c>
      <c r="AC111" s="22">
        <f>IF(ISNUMBER(VLOOKUP("3",A2:AD112,29,FALSE)),ROUND(VLOOKUP("3",A2:AD112,29,FALSE),4),0) + IF(ISNUMBER(VLOOKUP("4",A2:AD112,29,FALSE)),ROUND(VLOOKUP("4",A2:AD112,29,FALSE),4),0) - IF(ISNUMBER(VLOOKUP("5",A2:AD112,29,FALSE)),ROUND(VLOOKUP("5",A2:AD112,29,FALSE),4),0)</f>
        <v>0</v>
      </c>
      <c r="AD111" s="22">
        <f>IF(ISNUMBER(VLOOKUP("3",A2:AD112,30,FALSE)),ROUND(VLOOKUP("3",A2:AD112,30,FALSE),4),0) + IF(ISNUMBER(VLOOKUP("4",A2:AD112,30,FALSE)),ROUND(VLOOKUP("4",A2:AD112,30,FALSE),4),0) - IF(ISNUMBER(VLOOKUP("5",A2:AD112,30,FALSE)),ROUND(VLOOKUP("5",A2:AD112,30,FALSE),4),0)</f>
        <v>0</v>
      </c>
    </row>
  </sheetData>
  <mergeCells count="7">
    <mergeCell ref="C99:AD99"/>
    <mergeCell ref="C107:AD107"/>
    <mergeCell ref="C45:AD45"/>
    <mergeCell ref="C48:AD48"/>
    <mergeCell ref="C60:AD60"/>
    <mergeCell ref="C70:AD70"/>
    <mergeCell ref="C91:AD91"/>
  </mergeCells>
  <conditionalFormatting sqref="B56:AD56">
    <cfRule type="beginsWith" dxfId="7" priority="1" operator="beginsWith" text="Tak">
      <formula>LEFT(B56,LEN("Tak"))="Tak"</formula>
    </cfRule>
    <cfRule type="beginsWith" dxfId="6" priority="2" operator="beginsWith" text="Nie">
      <formula>LEFT(B56,LEN("Nie"))="Nie"</formula>
    </cfRule>
  </conditionalFormatting>
  <conditionalFormatting sqref="B57:AD57">
    <cfRule type="beginsWith" dxfId="5" priority="3" operator="beginsWith" text="Tak">
      <formula>LEFT(B57,LEN("Tak"))="Tak"</formula>
    </cfRule>
    <cfRule type="beginsWith" dxfId="4" priority="4" operator="beginsWith" text="Nie">
      <formula>LEFT(B57,LEN("Nie"))="Nie"</formula>
    </cfRule>
  </conditionalFormatting>
  <conditionalFormatting sqref="B58:AD58">
    <cfRule type="beginsWith" dxfId="3" priority="5" operator="beginsWith" text="Tak">
      <formula>LEFT(B58,LEN("Tak"))="Tak"</formula>
    </cfRule>
    <cfRule type="beginsWith" dxfId="2" priority="6" operator="beginsWith" text="Nie">
      <formula>LEFT(B58,LEN("Nie"))="Nie"</formula>
    </cfRule>
  </conditionalFormatting>
  <conditionalFormatting sqref="B59:AD59">
    <cfRule type="beginsWith" dxfId="1" priority="7" operator="beginsWith" text="Tak">
      <formula>LEFT(B59,LEN("Tak"))="Tak"</formula>
    </cfRule>
    <cfRule type="beginsWith" dxfId="0" priority="8" operator="beginsWith" text="Nie">
      <formula>LEFT(B59,LEN("Nie"))="Nie"</formula>
    </cfRule>
  </conditionalFormatting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&amp;RZałącznik nr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WPF Asystent - Załącznik 1</dc:subject>
  <dc:creator>http://www.curulis.pl</dc:creator>
  <cp:keywords>wpf, curulis, wieloletnia prognoza finansowa, wpf asystent</cp:keywords>
  <cp:lastModifiedBy>MDawedowska</cp:lastModifiedBy>
  <cp:lastPrinted>2019-05-20T10:33:21Z</cp:lastPrinted>
  <dcterms:modified xsi:type="dcterms:W3CDTF">2019-05-20T10:35:06Z</dcterms:modified>
</cp:coreProperties>
</file>